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B610243B-FF59-44B8-AFCF-0F3341F57E19}" xr6:coauthVersionLast="47" xr6:coauthVersionMax="47" xr10:uidLastSave="{00000000-0000-0000-0000-000000000000}"/>
  <bookViews>
    <workbookView xWindow="-110" yWindow="-110" windowWidth="19420" windowHeight="10420" tabRatio="860" xr2:uid="{00000000-000D-0000-FFFF-FFFF00000000}"/>
  </bookViews>
  <sheets>
    <sheet name="თავფურცელი" sheetId="1" r:id="rId1"/>
    <sheet name="კრებსითი" sheetId="3" r:id="rId2"/>
    <sheet name="II სართული" sheetId="13" r:id="rId3"/>
    <sheet name="III სართული" sheetId="14" r:id="rId4"/>
    <sheet name="ნარჩენების ოთახი, საწყობი" sheetId="15" r:id="rId5"/>
  </sheets>
  <definedNames>
    <definedName name="_xlnm._FilterDatabase" localSheetId="2" hidden="1">'II სართული'!$A$10:$L$140</definedName>
    <definedName name="_xlnm.Print_Area" localSheetId="2">'II სართული'!$A$1:$K$140</definedName>
    <definedName name="_xlnm.Print_Area" localSheetId="3">'III სართული'!$A$1:$K$175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4" i="15" l="1"/>
  <c r="K124" i="15" s="1"/>
  <c r="H124" i="15"/>
  <c r="F124" i="15"/>
  <c r="J123" i="15"/>
  <c r="H123" i="15"/>
  <c r="F123" i="15"/>
  <c r="J122" i="15"/>
  <c r="K122" i="15" s="1"/>
  <c r="H122" i="15"/>
  <c r="F122" i="15"/>
  <c r="D121" i="15"/>
  <c r="F121" i="15" s="1"/>
  <c r="J120" i="15"/>
  <c r="H120" i="15"/>
  <c r="F120" i="15"/>
  <c r="J119" i="15"/>
  <c r="H119" i="15"/>
  <c r="F119" i="15"/>
  <c r="J118" i="15"/>
  <c r="H118" i="15"/>
  <c r="F118" i="15"/>
  <c r="J117" i="15"/>
  <c r="H117" i="15"/>
  <c r="F117" i="15"/>
  <c r="J115" i="15"/>
  <c r="K115" i="15" s="1"/>
  <c r="H115" i="15"/>
  <c r="F115" i="15"/>
  <c r="J114" i="15"/>
  <c r="H114" i="15"/>
  <c r="F114" i="15"/>
  <c r="J113" i="15"/>
  <c r="H113" i="15"/>
  <c r="F113" i="15"/>
  <c r="J112" i="15"/>
  <c r="H112" i="15"/>
  <c r="F112" i="15"/>
  <c r="J111" i="15"/>
  <c r="H111" i="15"/>
  <c r="F111" i="15"/>
  <c r="J110" i="15"/>
  <c r="H110" i="15"/>
  <c r="F110" i="15"/>
  <c r="J109" i="15"/>
  <c r="H109" i="15"/>
  <c r="F109" i="15"/>
  <c r="J108" i="15"/>
  <c r="H108" i="15"/>
  <c r="F108" i="15"/>
  <c r="D116" i="15" s="1"/>
  <c r="J107" i="15"/>
  <c r="K107" i="15" s="1"/>
  <c r="H107" i="15"/>
  <c r="F107" i="15"/>
  <c r="J106" i="15"/>
  <c r="D106" i="15"/>
  <c r="H106" i="15" s="1"/>
  <c r="J105" i="15"/>
  <c r="H105" i="15"/>
  <c r="F105" i="15"/>
  <c r="J104" i="15"/>
  <c r="K104" i="15" s="1"/>
  <c r="H104" i="15"/>
  <c r="F104" i="15"/>
  <c r="J103" i="15"/>
  <c r="H103" i="15"/>
  <c r="F103" i="15"/>
  <c r="J102" i="15"/>
  <c r="K102" i="15" s="1"/>
  <c r="H102" i="15"/>
  <c r="F102" i="15"/>
  <c r="J101" i="15"/>
  <c r="H101" i="15"/>
  <c r="F101" i="15"/>
  <c r="J100" i="15"/>
  <c r="H100" i="15"/>
  <c r="F100" i="15"/>
  <c r="J99" i="15"/>
  <c r="D99" i="15"/>
  <c r="H99" i="15" s="1"/>
  <c r="D98" i="15"/>
  <c r="F98" i="15" s="1"/>
  <c r="J96" i="15"/>
  <c r="H96" i="15"/>
  <c r="F96" i="15"/>
  <c r="D96" i="15"/>
  <c r="J95" i="15"/>
  <c r="K95" i="15" s="1"/>
  <c r="H95" i="15"/>
  <c r="F95" i="15"/>
  <c r="J94" i="15"/>
  <c r="H94" i="15"/>
  <c r="F94" i="15"/>
  <c r="D93" i="15"/>
  <c r="J93" i="15" s="1"/>
  <c r="J92" i="15"/>
  <c r="F92" i="15"/>
  <c r="D92" i="15"/>
  <c r="H92" i="15" s="1"/>
  <c r="H91" i="15"/>
  <c r="F91" i="15"/>
  <c r="D91" i="15"/>
  <c r="J91" i="15" s="1"/>
  <c r="J90" i="15"/>
  <c r="H90" i="15"/>
  <c r="D90" i="15"/>
  <c r="F90" i="15" s="1"/>
  <c r="J89" i="15"/>
  <c r="D89" i="15"/>
  <c r="H89" i="15" s="1"/>
  <c r="J88" i="15"/>
  <c r="H88" i="15"/>
  <c r="F88" i="15"/>
  <c r="K88" i="15" s="1"/>
  <c r="J87" i="15"/>
  <c r="F87" i="15"/>
  <c r="D87" i="15"/>
  <c r="H87" i="15" s="1"/>
  <c r="K87" i="15" s="1"/>
  <c r="J86" i="15"/>
  <c r="H86" i="15"/>
  <c r="F86" i="15"/>
  <c r="D86" i="15"/>
  <c r="J85" i="15"/>
  <c r="H85" i="15"/>
  <c r="F85" i="15"/>
  <c r="D83" i="15"/>
  <c r="F83" i="15" s="1"/>
  <c r="J82" i="15"/>
  <c r="H82" i="15"/>
  <c r="F82" i="15"/>
  <c r="J81" i="15"/>
  <c r="H81" i="15"/>
  <c r="F81" i="15"/>
  <c r="J79" i="15"/>
  <c r="K79" i="15" s="1"/>
  <c r="H79" i="15"/>
  <c r="F79" i="15"/>
  <c r="J77" i="15"/>
  <c r="D77" i="15"/>
  <c r="H77" i="15" s="1"/>
  <c r="J76" i="15"/>
  <c r="H76" i="15"/>
  <c r="F76" i="15"/>
  <c r="K76" i="15" s="1"/>
  <c r="J75" i="15"/>
  <c r="K75" i="15" s="1"/>
  <c r="H75" i="15"/>
  <c r="F75" i="15"/>
  <c r="J74" i="15"/>
  <c r="H74" i="15"/>
  <c r="F74" i="15"/>
  <c r="K74" i="15" s="1"/>
  <c r="K73" i="15"/>
  <c r="J73" i="15"/>
  <c r="H73" i="15"/>
  <c r="F73" i="15"/>
  <c r="J72" i="15"/>
  <c r="H72" i="15"/>
  <c r="F72" i="15"/>
  <c r="H70" i="15"/>
  <c r="F70" i="15"/>
  <c r="D70" i="15"/>
  <c r="D71" i="15" s="1"/>
  <c r="J69" i="15"/>
  <c r="H69" i="15"/>
  <c r="F69" i="15"/>
  <c r="J68" i="15"/>
  <c r="H68" i="15"/>
  <c r="D68" i="15"/>
  <c r="F68" i="15" s="1"/>
  <c r="D67" i="15"/>
  <c r="J67" i="15" s="1"/>
  <c r="D66" i="15"/>
  <c r="J66" i="15" s="1"/>
  <c r="J65" i="15"/>
  <c r="H65" i="15"/>
  <c r="F65" i="15"/>
  <c r="J64" i="15"/>
  <c r="H64" i="15"/>
  <c r="F64" i="15"/>
  <c r="J63" i="15"/>
  <c r="K63" i="15" s="1"/>
  <c r="H63" i="15"/>
  <c r="F63" i="15"/>
  <c r="J62" i="15"/>
  <c r="H62" i="15"/>
  <c r="F62" i="15"/>
  <c r="J61" i="15"/>
  <c r="H61" i="15"/>
  <c r="F61" i="15"/>
  <c r="J60" i="15"/>
  <c r="K60" i="15" s="1"/>
  <c r="H60" i="15"/>
  <c r="F60" i="15"/>
  <c r="D60" i="15"/>
  <c r="J59" i="15"/>
  <c r="H59" i="15"/>
  <c r="D59" i="15"/>
  <c r="F59" i="15" s="1"/>
  <c r="J58" i="15"/>
  <c r="K58" i="15" s="1"/>
  <c r="H58" i="15"/>
  <c r="F58" i="15"/>
  <c r="J57" i="15"/>
  <c r="H57" i="15"/>
  <c r="F57" i="15"/>
  <c r="D56" i="15"/>
  <c r="J56" i="15" s="1"/>
  <c r="D55" i="15"/>
  <c r="J55" i="15" s="1"/>
  <c r="J54" i="15"/>
  <c r="K54" i="15" s="1"/>
  <c r="H54" i="15"/>
  <c r="F54" i="15"/>
  <c r="J53" i="15"/>
  <c r="H53" i="15"/>
  <c r="F53" i="15"/>
  <c r="J52" i="15"/>
  <c r="H52" i="15"/>
  <c r="F52" i="15"/>
  <c r="J51" i="15"/>
  <c r="K51" i="15" s="1"/>
  <c r="H51" i="15"/>
  <c r="F51" i="15"/>
  <c r="J50" i="15"/>
  <c r="H50" i="15"/>
  <c r="F50" i="15"/>
  <c r="J49" i="15"/>
  <c r="F49" i="15"/>
  <c r="D49" i="15"/>
  <c r="H49" i="15" s="1"/>
  <c r="J48" i="15"/>
  <c r="H48" i="15"/>
  <c r="D48" i="15"/>
  <c r="F48" i="15" s="1"/>
  <c r="D47" i="15"/>
  <c r="J47" i="15" s="1"/>
  <c r="D44" i="15"/>
  <c r="D45" i="15" s="1"/>
  <c r="J43" i="15"/>
  <c r="F43" i="15"/>
  <c r="D43" i="15"/>
  <c r="H43" i="15" s="1"/>
  <c r="D42" i="15"/>
  <c r="F42" i="15" s="1"/>
  <c r="H37" i="15"/>
  <c r="F37" i="15"/>
  <c r="D37" i="15"/>
  <c r="D40" i="15" s="1"/>
  <c r="D36" i="15"/>
  <c r="J36" i="15" s="1"/>
  <c r="J35" i="15"/>
  <c r="H35" i="15"/>
  <c r="F35" i="15"/>
  <c r="D34" i="15"/>
  <c r="J34" i="15" s="1"/>
  <c r="D33" i="15"/>
  <c r="J33" i="15" s="1"/>
  <c r="H32" i="15"/>
  <c r="F32" i="15"/>
  <c r="D32" i="15"/>
  <c r="J32" i="15" s="1"/>
  <c r="D31" i="15"/>
  <c r="J31" i="15" s="1"/>
  <c r="J30" i="15"/>
  <c r="K30" i="15" s="1"/>
  <c r="H30" i="15"/>
  <c r="F30" i="15"/>
  <c r="D30" i="15"/>
  <c r="J29" i="15"/>
  <c r="H29" i="15"/>
  <c r="F29" i="15"/>
  <c r="J25" i="15"/>
  <c r="D25" i="15"/>
  <c r="D27" i="15" s="1"/>
  <c r="D24" i="15"/>
  <c r="F24" i="15" s="1"/>
  <c r="D23" i="15"/>
  <c r="J23" i="15" s="1"/>
  <c r="J22" i="15"/>
  <c r="H22" i="15"/>
  <c r="D22" i="15"/>
  <c r="F22" i="15" s="1"/>
  <c r="D21" i="15"/>
  <c r="J21" i="15" s="1"/>
  <c r="D20" i="15"/>
  <c r="J20" i="15" s="1"/>
  <c r="J19" i="15"/>
  <c r="K19" i="15" s="1"/>
  <c r="H19" i="15"/>
  <c r="F19" i="15"/>
  <c r="J17" i="15"/>
  <c r="H17" i="15"/>
  <c r="F17" i="15"/>
  <c r="J15" i="15"/>
  <c r="H15" i="15"/>
  <c r="F15" i="15"/>
  <c r="D14" i="15"/>
  <c r="J14" i="15" s="1"/>
  <c r="J12" i="15"/>
  <c r="H12" i="15"/>
  <c r="F12" i="15"/>
  <c r="J11" i="15"/>
  <c r="H11" i="15"/>
  <c r="F11" i="15"/>
  <c r="J10" i="15"/>
  <c r="K10" i="15" s="1"/>
  <c r="H10" i="15"/>
  <c r="F10" i="15"/>
  <c r="J8" i="15"/>
  <c r="H8" i="15"/>
  <c r="D8" i="15"/>
  <c r="F8" i="15" s="1"/>
  <c r="K100" i="15" l="1"/>
  <c r="K85" i="15"/>
  <c r="K92" i="15"/>
  <c r="K43" i="15"/>
  <c r="K15" i="15"/>
  <c r="K32" i="15"/>
  <c r="K52" i="15"/>
  <c r="K61" i="15"/>
  <c r="K81" i="15"/>
  <c r="K91" i="15"/>
  <c r="K113" i="15"/>
  <c r="K35" i="15"/>
  <c r="K49" i="15"/>
  <c r="K110" i="15"/>
  <c r="K119" i="15"/>
  <c r="K112" i="15"/>
  <c r="K96" i="15"/>
  <c r="K105" i="15"/>
  <c r="K120" i="15"/>
  <c r="K29" i="15"/>
  <c r="K72" i="15"/>
  <c r="K82" i="15"/>
  <c r="K103" i="15"/>
  <c r="K123" i="15"/>
  <c r="K17" i="15"/>
  <c r="K53" i="15"/>
  <c r="K57" i="15"/>
  <c r="K62" i="15"/>
  <c r="K101" i="15"/>
  <c r="K114" i="15"/>
  <c r="K118" i="15"/>
  <c r="K11" i="15"/>
  <c r="K64" i="15"/>
  <c r="K94" i="15"/>
  <c r="K108" i="15"/>
  <c r="K117" i="15"/>
  <c r="K50" i="15"/>
  <c r="K111" i="15"/>
  <c r="K12" i="15"/>
  <c r="K65" i="15"/>
  <c r="K69" i="15"/>
  <c r="K86" i="15"/>
  <c r="K109" i="15"/>
  <c r="J116" i="15"/>
  <c r="H116" i="15"/>
  <c r="F116" i="15"/>
  <c r="K68" i="15"/>
  <c r="K22" i="15"/>
  <c r="H27" i="15"/>
  <c r="F27" i="15"/>
  <c r="J27" i="15"/>
  <c r="K90" i="15"/>
  <c r="K59" i="15"/>
  <c r="K77" i="15"/>
  <c r="K48" i="15"/>
  <c r="F45" i="15"/>
  <c r="H45" i="15"/>
  <c r="J45" i="15"/>
  <c r="K45" i="15" s="1"/>
  <c r="F40" i="15"/>
  <c r="H40" i="15"/>
  <c r="J40" i="15"/>
  <c r="J71" i="15"/>
  <c r="H71" i="15"/>
  <c r="F71" i="15"/>
  <c r="K99" i="15"/>
  <c r="K8" i="15"/>
  <c r="F14" i="15"/>
  <c r="D16" i="15"/>
  <c r="F21" i="15"/>
  <c r="H24" i="15"/>
  <c r="D26" i="15"/>
  <c r="F34" i="15"/>
  <c r="J37" i="15"/>
  <c r="K37" i="15" s="1"/>
  <c r="H42" i="15"/>
  <c r="F47" i="15"/>
  <c r="K47" i="15" s="1"/>
  <c r="F56" i="15"/>
  <c r="F67" i="15"/>
  <c r="J70" i="15"/>
  <c r="K70" i="15" s="1"/>
  <c r="D78" i="15"/>
  <c r="H83" i="15"/>
  <c r="F93" i="15"/>
  <c r="H98" i="15"/>
  <c r="H121" i="15"/>
  <c r="D9" i="15"/>
  <c r="H14" i="15"/>
  <c r="D18" i="15"/>
  <c r="H21" i="15"/>
  <c r="K21" i="15" s="1"/>
  <c r="J24" i="15"/>
  <c r="F31" i="15"/>
  <c r="H34" i="15"/>
  <c r="F36" i="15"/>
  <c r="D41" i="15"/>
  <c r="J42" i="15"/>
  <c r="F44" i="15"/>
  <c r="H47" i="15"/>
  <c r="H56" i="15"/>
  <c r="H67" i="15"/>
  <c r="K67" i="15" s="1"/>
  <c r="D80" i="15"/>
  <c r="J83" i="15"/>
  <c r="H93" i="15"/>
  <c r="D97" i="15"/>
  <c r="J98" i="15"/>
  <c r="F106" i="15"/>
  <c r="K106" i="15" s="1"/>
  <c r="J121" i="15"/>
  <c r="D13" i="15"/>
  <c r="F23" i="15"/>
  <c r="D28" i="15"/>
  <c r="H31" i="15"/>
  <c r="H36" i="15"/>
  <c r="D38" i="15"/>
  <c r="H44" i="15"/>
  <c r="D46" i="15"/>
  <c r="F20" i="15"/>
  <c r="K20" i="15" s="1"/>
  <c r="H23" i="15"/>
  <c r="F33" i="15"/>
  <c r="J44" i="15"/>
  <c r="F55" i="15"/>
  <c r="F66" i="15"/>
  <c r="D84" i="15"/>
  <c r="H20" i="15"/>
  <c r="F25" i="15"/>
  <c r="H33" i="15"/>
  <c r="H55" i="15"/>
  <c r="K55" i="15" s="1"/>
  <c r="H66" i="15"/>
  <c r="K66" i="15" s="1"/>
  <c r="F77" i="15"/>
  <c r="F89" i="15"/>
  <c r="K89" i="15" s="1"/>
  <c r="F99" i="15"/>
  <c r="H25" i="15"/>
  <c r="K121" i="15" l="1"/>
  <c r="K24" i="15"/>
  <c r="K34" i="15"/>
  <c r="K98" i="15"/>
  <c r="K23" i="15"/>
  <c r="K42" i="15"/>
  <c r="K25" i="15"/>
  <c r="K56" i="15"/>
  <c r="K27" i="15"/>
  <c r="K33" i="15"/>
  <c r="K36" i="15"/>
  <c r="K14" i="15"/>
  <c r="K31" i="15"/>
  <c r="K93" i="15"/>
  <c r="J26" i="15"/>
  <c r="H26" i="15"/>
  <c r="F26" i="15"/>
  <c r="J38" i="15"/>
  <c r="D39" i="15"/>
  <c r="H38" i="15"/>
  <c r="F38" i="15"/>
  <c r="J97" i="15"/>
  <c r="H97" i="15"/>
  <c r="F97" i="15"/>
  <c r="K71" i="15"/>
  <c r="K44" i="15"/>
  <c r="J41" i="15"/>
  <c r="H41" i="15"/>
  <c r="F41" i="15"/>
  <c r="J9" i="15"/>
  <c r="H9" i="15"/>
  <c r="F9" i="15"/>
  <c r="J16" i="15"/>
  <c r="H16" i="15"/>
  <c r="F16" i="15"/>
  <c r="K116" i="15"/>
  <c r="J13" i="15"/>
  <c r="H13" i="15"/>
  <c r="F13" i="15"/>
  <c r="J46" i="15"/>
  <c r="H46" i="15"/>
  <c r="F46" i="15"/>
  <c r="H84" i="15"/>
  <c r="F84" i="15"/>
  <c r="J84" i="15"/>
  <c r="J78" i="15"/>
  <c r="H78" i="15"/>
  <c r="F78" i="15"/>
  <c r="J18" i="15"/>
  <c r="H18" i="15"/>
  <c r="F18" i="15"/>
  <c r="J28" i="15"/>
  <c r="H28" i="15"/>
  <c r="F28" i="15"/>
  <c r="K83" i="15"/>
  <c r="J80" i="15"/>
  <c r="H80" i="15"/>
  <c r="F80" i="15"/>
  <c r="K40" i="15"/>
  <c r="K84" i="15" l="1"/>
  <c r="K78" i="15"/>
  <c r="K97" i="15"/>
  <c r="K9" i="15"/>
  <c r="K28" i="15"/>
  <c r="K41" i="15"/>
  <c r="J39" i="15"/>
  <c r="H39" i="15"/>
  <c r="F39" i="15"/>
  <c r="F125" i="15" s="1"/>
  <c r="K126" i="15" s="1"/>
  <c r="K13" i="15"/>
  <c r="K38" i="15"/>
  <c r="K18" i="15"/>
  <c r="K16" i="15"/>
  <c r="K80" i="15"/>
  <c r="K46" i="15"/>
  <c r="H125" i="15"/>
  <c r="K133" i="15" s="1"/>
  <c r="K26" i="15"/>
  <c r="K125" i="15" l="1"/>
  <c r="K127" i="15" s="1"/>
  <c r="K128" i="15" s="1"/>
  <c r="K129" i="15" s="1"/>
  <c r="K130" i="15" s="1"/>
  <c r="K131" i="15" s="1"/>
  <c r="K132" i="15" s="1"/>
  <c r="K134" i="15" s="1"/>
  <c r="K135" i="15" s="1"/>
  <c r="K136" i="15" s="1"/>
  <c r="K3" i="15" s="1"/>
  <c r="K39" i="15"/>
  <c r="J125" i="15"/>
  <c r="D8" i="3" l="1"/>
  <c r="D93" i="13"/>
  <c r="D94" i="13" l="1"/>
  <c r="D71" i="13"/>
  <c r="D53" i="13"/>
  <c r="D57" i="13" s="1"/>
  <c r="D36" i="13"/>
  <c r="D134" i="14" l="1"/>
  <c r="D133" i="14"/>
  <c r="D117" i="14"/>
  <c r="D92" i="14"/>
  <c r="D83" i="14"/>
  <c r="D86" i="14" s="1"/>
  <c r="D79" i="14"/>
  <c r="D125" i="14" s="1"/>
  <c r="D45" i="14"/>
  <c r="D16" i="13"/>
  <c r="D58" i="13"/>
  <c r="D88" i="14" l="1"/>
  <c r="D87" i="14"/>
  <c r="D90" i="14"/>
  <c r="D67" i="14"/>
  <c r="D69" i="14" s="1"/>
  <c r="F69" i="14" s="1"/>
  <c r="K69" i="14" s="1"/>
  <c r="D84" i="14"/>
  <c r="D163" i="14"/>
  <c r="H163" i="14" s="1"/>
  <c r="J162" i="14"/>
  <c r="H162" i="14"/>
  <c r="D161" i="14"/>
  <c r="F161" i="14" s="1"/>
  <c r="K161" i="14" s="1"/>
  <c r="J160" i="14"/>
  <c r="H160" i="14"/>
  <c r="F160" i="14"/>
  <c r="J159" i="14"/>
  <c r="H159" i="14"/>
  <c r="F159" i="14"/>
  <c r="J158" i="14"/>
  <c r="H158" i="14"/>
  <c r="F158" i="14"/>
  <c r="J157" i="14"/>
  <c r="H157" i="14"/>
  <c r="F157" i="14"/>
  <c r="J156" i="14"/>
  <c r="H156" i="14"/>
  <c r="F156" i="14"/>
  <c r="J155" i="14"/>
  <c r="H155" i="14"/>
  <c r="F155" i="14"/>
  <c r="J154" i="14"/>
  <c r="H154" i="14"/>
  <c r="F154" i="14"/>
  <c r="J153" i="14"/>
  <c r="H153" i="14"/>
  <c r="F153" i="14"/>
  <c r="J152" i="14"/>
  <c r="H152" i="14"/>
  <c r="F152" i="14"/>
  <c r="J151" i="14"/>
  <c r="H151" i="14"/>
  <c r="F151" i="14"/>
  <c r="J150" i="14"/>
  <c r="H150" i="14"/>
  <c r="F150" i="14"/>
  <c r="J149" i="14"/>
  <c r="H149" i="14"/>
  <c r="F149" i="14"/>
  <c r="J148" i="14"/>
  <c r="H148" i="14"/>
  <c r="F148" i="14"/>
  <c r="J147" i="14"/>
  <c r="H147" i="14"/>
  <c r="F147" i="14"/>
  <c r="J146" i="14"/>
  <c r="H146" i="14"/>
  <c r="F146" i="14"/>
  <c r="J145" i="14"/>
  <c r="H145" i="14"/>
  <c r="F145" i="14"/>
  <c r="D143" i="14"/>
  <c r="F143" i="14" s="1"/>
  <c r="K143" i="14" s="1"/>
  <c r="J142" i="14"/>
  <c r="H142" i="14"/>
  <c r="F142" i="14"/>
  <c r="J141" i="14"/>
  <c r="H141" i="14"/>
  <c r="F141" i="14"/>
  <c r="F139" i="14"/>
  <c r="K139" i="14" s="1"/>
  <c r="J138" i="14"/>
  <c r="H138" i="14"/>
  <c r="F138" i="14"/>
  <c r="J137" i="14"/>
  <c r="H137" i="14"/>
  <c r="F137" i="14"/>
  <c r="J136" i="14"/>
  <c r="H136" i="14"/>
  <c r="F136" i="14"/>
  <c r="J135" i="14"/>
  <c r="H135" i="14"/>
  <c r="F135" i="14"/>
  <c r="J134" i="14"/>
  <c r="H134" i="14"/>
  <c r="F134" i="14"/>
  <c r="J133" i="14"/>
  <c r="H133" i="14"/>
  <c r="F133" i="14"/>
  <c r="D131" i="14"/>
  <c r="F131" i="14" s="1"/>
  <c r="K131" i="14" s="1"/>
  <c r="F130" i="14"/>
  <c r="K130" i="14" s="1"/>
  <c r="D129" i="14"/>
  <c r="F129" i="14" s="1"/>
  <c r="K129" i="14" s="1"/>
  <c r="D128" i="14"/>
  <c r="F128" i="14" s="1"/>
  <c r="K128" i="14" s="1"/>
  <c r="D127" i="14"/>
  <c r="F127" i="14" s="1"/>
  <c r="K127" i="14" s="1"/>
  <c r="D126" i="14"/>
  <c r="F126" i="14" s="1"/>
  <c r="K126" i="14" s="1"/>
  <c r="J125" i="14"/>
  <c r="H125" i="14"/>
  <c r="D124" i="14"/>
  <c r="F124" i="14" s="1"/>
  <c r="K124" i="14" s="1"/>
  <c r="D123" i="14"/>
  <c r="F123" i="14" s="1"/>
  <c r="K123" i="14" s="1"/>
  <c r="F122" i="14"/>
  <c r="K122" i="14" s="1"/>
  <c r="D121" i="14"/>
  <c r="F121" i="14" s="1"/>
  <c r="K121" i="14" s="1"/>
  <c r="D120" i="14"/>
  <c r="F120" i="14" s="1"/>
  <c r="K120" i="14" s="1"/>
  <c r="D119" i="14"/>
  <c r="F119" i="14" s="1"/>
  <c r="K119" i="14" s="1"/>
  <c r="D118" i="14"/>
  <c r="F118" i="14" s="1"/>
  <c r="K118" i="14" s="1"/>
  <c r="J117" i="14"/>
  <c r="H117" i="14"/>
  <c r="D116" i="14"/>
  <c r="F116" i="14" s="1"/>
  <c r="K116" i="14" s="1"/>
  <c r="D115" i="14"/>
  <c r="F115" i="14" s="1"/>
  <c r="K115" i="14" s="1"/>
  <c r="F114" i="14"/>
  <c r="K114" i="14" s="1"/>
  <c r="D113" i="14"/>
  <c r="F113" i="14" s="1"/>
  <c r="K113" i="14" s="1"/>
  <c r="D112" i="14"/>
  <c r="F112" i="14" s="1"/>
  <c r="K112" i="14" s="1"/>
  <c r="D111" i="14"/>
  <c r="F111" i="14" s="1"/>
  <c r="K111" i="14" s="1"/>
  <c r="D110" i="14"/>
  <c r="F110" i="14" s="1"/>
  <c r="K110" i="14" s="1"/>
  <c r="J109" i="14"/>
  <c r="H109" i="14"/>
  <c r="J107" i="14"/>
  <c r="H107" i="14"/>
  <c r="F107" i="14"/>
  <c r="J106" i="14"/>
  <c r="H106" i="14"/>
  <c r="F106" i="14"/>
  <c r="J105" i="14"/>
  <c r="H105" i="14"/>
  <c r="F105" i="14"/>
  <c r="J104" i="14"/>
  <c r="H104" i="14"/>
  <c r="F104" i="14"/>
  <c r="J103" i="14"/>
  <c r="H103" i="14"/>
  <c r="F103" i="14"/>
  <c r="D97" i="14"/>
  <c r="D98" i="14" s="1"/>
  <c r="F98" i="14" s="1"/>
  <c r="K98" i="14" s="1"/>
  <c r="D94" i="14"/>
  <c r="F94" i="14" s="1"/>
  <c r="K94" i="14" s="1"/>
  <c r="H83" i="14"/>
  <c r="D81" i="14"/>
  <c r="F81" i="14" s="1"/>
  <c r="K81" i="14" s="1"/>
  <c r="F77" i="14"/>
  <c r="K77" i="14" s="1"/>
  <c r="D76" i="14"/>
  <c r="F76" i="14" s="1"/>
  <c r="K76" i="14" s="1"/>
  <c r="D75" i="14"/>
  <c r="F75" i="14" s="1"/>
  <c r="K75" i="14" s="1"/>
  <c r="D74" i="14"/>
  <c r="D78" i="14" s="1"/>
  <c r="F78" i="14" s="1"/>
  <c r="K78" i="14" s="1"/>
  <c r="J73" i="14"/>
  <c r="H73" i="14"/>
  <c r="F71" i="14"/>
  <c r="K71" i="14" s="1"/>
  <c r="J66" i="14"/>
  <c r="H66" i="14"/>
  <c r="D65" i="14"/>
  <c r="F64" i="14"/>
  <c r="K64" i="14" s="1"/>
  <c r="D63" i="14"/>
  <c r="F63" i="14" s="1"/>
  <c r="K63" i="14" s="1"/>
  <c r="J62" i="14"/>
  <c r="H62" i="14"/>
  <c r="D55" i="14"/>
  <c r="F55" i="14" s="1"/>
  <c r="K55" i="14" s="1"/>
  <c r="F54" i="14"/>
  <c r="K54" i="14" s="1"/>
  <c r="D53" i="14"/>
  <c r="F53" i="14" s="1"/>
  <c r="K53" i="14" s="1"/>
  <c r="D52" i="14"/>
  <c r="F52" i="14" s="1"/>
  <c r="K52" i="14" s="1"/>
  <c r="J51" i="14"/>
  <c r="H51" i="14"/>
  <c r="D49" i="14"/>
  <c r="F49" i="14" s="1"/>
  <c r="K49" i="14" s="1"/>
  <c r="D48" i="14"/>
  <c r="F48" i="14" s="1"/>
  <c r="K48" i="14" s="1"/>
  <c r="D47" i="14"/>
  <c r="F47" i="14" s="1"/>
  <c r="K47" i="14" s="1"/>
  <c r="D46" i="14"/>
  <c r="F46" i="14" s="1"/>
  <c r="K46" i="14" s="1"/>
  <c r="J45" i="14"/>
  <c r="H45" i="14"/>
  <c r="F44" i="14"/>
  <c r="K44" i="14" s="1"/>
  <c r="D43" i="14"/>
  <c r="F43" i="14" s="1"/>
  <c r="K43" i="14" s="1"/>
  <c r="J42" i="14"/>
  <c r="H42" i="14"/>
  <c r="D38" i="14"/>
  <c r="D39" i="14" s="1"/>
  <c r="F39" i="14" s="1"/>
  <c r="K39" i="14" s="1"/>
  <c r="D35" i="14"/>
  <c r="H35" i="14" s="1"/>
  <c r="J34" i="14"/>
  <c r="H34" i="14"/>
  <c r="J33" i="14"/>
  <c r="H33" i="14"/>
  <c r="H32" i="14"/>
  <c r="K32" i="14" s="1"/>
  <c r="J31" i="14"/>
  <c r="H31" i="14"/>
  <c r="J30" i="14"/>
  <c r="H30" i="14"/>
  <c r="J29" i="14"/>
  <c r="H29" i="14"/>
  <c r="J28" i="14"/>
  <c r="H28" i="14"/>
  <c r="J27" i="14"/>
  <c r="H27" i="14"/>
  <c r="J26" i="14"/>
  <c r="H26" i="14"/>
  <c r="J25" i="14"/>
  <c r="H25" i="14"/>
  <c r="J24" i="14"/>
  <c r="H24" i="14"/>
  <c r="J23" i="14"/>
  <c r="H23" i="14"/>
  <c r="J22" i="14"/>
  <c r="H22" i="14"/>
  <c r="J21" i="14"/>
  <c r="H21" i="14"/>
  <c r="J20" i="14"/>
  <c r="H20" i="14"/>
  <c r="J18" i="14"/>
  <c r="H18" i="14"/>
  <c r="J17" i="14"/>
  <c r="H17" i="14"/>
  <c r="J16" i="14"/>
  <c r="H16" i="14"/>
  <c r="D15" i="14"/>
  <c r="J15" i="14" s="1"/>
  <c r="J14" i="14"/>
  <c r="H14" i="14"/>
  <c r="J13" i="14"/>
  <c r="H13" i="14"/>
  <c r="J12" i="14"/>
  <c r="H12" i="14"/>
  <c r="J11" i="14"/>
  <c r="H11" i="14"/>
  <c r="J10" i="14"/>
  <c r="H10" i="14"/>
  <c r="K155" i="14" l="1"/>
  <c r="F84" i="14"/>
  <c r="K84" i="14" s="1"/>
  <c r="K152" i="14"/>
  <c r="K13" i="14"/>
  <c r="K109" i="14"/>
  <c r="F65" i="14"/>
  <c r="K65" i="14" s="1"/>
  <c r="K29" i="14"/>
  <c r="K73" i="14"/>
  <c r="K30" i="14"/>
  <c r="K11" i="14"/>
  <c r="K31" i="14"/>
  <c r="J35" i="14"/>
  <c r="K35" i="14" s="1"/>
  <c r="K117" i="14"/>
  <c r="K18" i="14"/>
  <c r="F74" i="14"/>
  <c r="K74" i="14" s="1"/>
  <c r="K157" i="14"/>
  <c r="K33" i="14"/>
  <c r="K66" i="14"/>
  <c r="K51" i="14"/>
  <c r="K21" i="14"/>
  <c r="K145" i="14"/>
  <c r="K153" i="14"/>
  <c r="K156" i="14"/>
  <c r="K27" i="14"/>
  <c r="K134" i="14"/>
  <c r="K151" i="14"/>
  <c r="K146" i="14"/>
  <c r="K162" i="14"/>
  <c r="K125" i="14"/>
  <c r="K149" i="14"/>
  <c r="K20" i="14"/>
  <c r="K22" i="14"/>
  <c r="K34" i="14"/>
  <c r="K147" i="14"/>
  <c r="K159" i="14"/>
  <c r="H97" i="14"/>
  <c r="K45" i="14"/>
  <c r="K26" i="14"/>
  <c r="H92" i="14"/>
  <c r="K106" i="14"/>
  <c r="K107" i="14"/>
  <c r="K135" i="14"/>
  <c r="K142" i="14"/>
  <c r="K160" i="14"/>
  <c r="K10" i="14"/>
  <c r="D93" i="14"/>
  <c r="F93" i="14" s="1"/>
  <c r="K93" i="14" s="1"/>
  <c r="K138" i="14"/>
  <c r="K158" i="14"/>
  <c r="K16" i="14"/>
  <c r="K23" i="14"/>
  <c r="K104" i="14"/>
  <c r="K133" i="14"/>
  <c r="K28" i="14"/>
  <c r="K136" i="14"/>
  <c r="K154" i="14"/>
  <c r="K24" i="14"/>
  <c r="K62" i="14"/>
  <c r="D101" i="14"/>
  <c r="F101" i="14" s="1"/>
  <c r="K101" i="14" s="1"/>
  <c r="K42" i="14"/>
  <c r="D50" i="14"/>
  <c r="F50" i="14" s="1"/>
  <c r="K50" i="14" s="1"/>
  <c r="K105" i="14"/>
  <c r="K141" i="14"/>
  <c r="K150" i="14"/>
  <c r="K12" i="14"/>
  <c r="H15" i="14"/>
  <c r="K15" i="14" s="1"/>
  <c r="K17" i="14"/>
  <c r="K25" i="14"/>
  <c r="K137" i="14"/>
  <c r="K148" i="14"/>
  <c r="H67" i="14"/>
  <c r="J67" i="14"/>
  <c r="D68" i="14"/>
  <c r="F68" i="14" s="1"/>
  <c r="K68" i="14" s="1"/>
  <c r="H79" i="14"/>
  <c r="D80" i="14"/>
  <c r="F80" i="14" s="1"/>
  <c r="K80" i="14" s="1"/>
  <c r="K14" i="14"/>
  <c r="K103" i="14"/>
  <c r="J19" i="14"/>
  <c r="D57" i="14"/>
  <c r="H19" i="14"/>
  <c r="D40" i="14"/>
  <c r="F40" i="14" s="1"/>
  <c r="K40" i="14" s="1"/>
  <c r="F86" i="14"/>
  <c r="K86" i="14" s="1"/>
  <c r="D89" i="14"/>
  <c r="F89" i="14" s="1"/>
  <c r="K89" i="14" s="1"/>
  <c r="J83" i="14"/>
  <c r="K83" i="14" s="1"/>
  <c r="D99" i="14"/>
  <c r="F99" i="14" s="1"/>
  <c r="K99" i="14" s="1"/>
  <c r="J163" i="14"/>
  <c r="K163" i="14" s="1"/>
  <c r="H38" i="14"/>
  <c r="J79" i="14"/>
  <c r="D82" i="14"/>
  <c r="F82" i="14" s="1"/>
  <c r="K82" i="14" s="1"/>
  <c r="J92" i="14"/>
  <c r="D95" i="14"/>
  <c r="F95" i="14" s="1"/>
  <c r="K95" i="14" s="1"/>
  <c r="J38" i="14"/>
  <c r="D41" i="14"/>
  <c r="F41" i="14" s="1"/>
  <c r="K41" i="14" s="1"/>
  <c r="F87" i="14"/>
  <c r="K87" i="14" s="1"/>
  <c r="J97" i="14"/>
  <c r="D100" i="14"/>
  <c r="F100" i="14" s="1"/>
  <c r="K100" i="14" s="1"/>
  <c r="F90" i="14"/>
  <c r="K90" i="14" s="1"/>
  <c r="D85" i="14"/>
  <c r="F85" i="14" s="1"/>
  <c r="K85" i="14" s="1"/>
  <c r="D96" i="14"/>
  <c r="F96" i="14" s="1"/>
  <c r="K96" i="14" s="1"/>
  <c r="F88" i="14"/>
  <c r="K88" i="14" s="1"/>
  <c r="K97" i="14" l="1"/>
  <c r="K38" i="14"/>
  <c r="K92" i="14"/>
  <c r="D72" i="14"/>
  <c r="F72" i="14" s="1"/>
  <c r="K72" i="14" s="1"/>
  <c r="D70" i="14"/>
  <c r="F70" i="14" s="1"/>
  <c r="K70" i="14" s="1"/>
  <c r="K67" i="14"/>
  <c r="K79" i="14"/>
  <c r="D61" i="14"/>
  <c r="F61" i="14" s="1"/>
  <c r="K61" i="14" s="1"/>
  <c r="D58" i="14"/>
  <c r="H57" i="14"/>
  <c r="K57" i="14" s="1"/>
  <c r="D60" i="14"/>
  <c r="K19" i="14"/>
  <c r="H164" i="14" l="1"/>
  <c r="K172" i="14" s="1"/>
  <c r="J60" i="14"/>
  <c r="F60" i="14"/>
  <c r="D59" i="14"/>
  <c r="J58" i="14"/>
  <c r="F58" i="14"/>
  <c r="K60" i="14" l="1"/>
  <c r="K58" i="14"/>
  <c r="F59" i="14"/>
  <c r="F164" i="14" s="1"/>
  <c r="J59" i="14"/>
  <c r="K59" i="14" l="1"/>
  <c r="K164" i="14" s="1"/>
  <c r="K165" i="14" s="1"/>
  <c r="K166" i="14" s="1"/>
  <c r="J164" i="14"/>
  <c r="K167" i="14" l="1"/>
  <c r="K168" i="14" s="1"/>
  <c r="K169" i="14" l="1"/>
  <c r="K170" i="14" s="1"/>
  <c r="K171" i="14" s="1"/>
  <c r="K173" i="14" s="1"/>
  <c r="K174" i="14" s="1"/>
  <c r="K175" i="14" s="1"/>
  <c r="I5" i="14" s="1"/>
  <c r="D7" i="3" s="1"/>
  <c r="D128" i="13" l="1"/>
  <c r="J128" i="13" s="1"/>
  <c r="J127" i="13"/>
  <c r="H127" i="13"/>
  <c r="D126" i="13"/>
  <c r="F126" i="13" s="1"/>
  <c r="K126" i="13" s="1"/>
  <c r="J125" i="13"/>
  <c r="H125" i="13"/>
  <c r="F125" i="13"/>
  <c r="J124" i="13"/>
  <c r="H124" i="13"/>
  <c r="F124" i="13"/>
  <c r="J123" i="13"/>
  <c r="H123" i="13"/>
  <c r="F123" i="13"/>
  <c r="D121" i="13"/>
  <c r="F121" i="13" s="1"/>
  <c r="K121" i="13" s="1"/>
  <c r="J120" i="13"/>
  <c r="H120" i="13"/>
  <c r="F120" i="13"/>
  <c r="J119" i="13"/>
  <c r="H119" i="13"/>
  <c r="F119" i="13"/>
  <c r="J118" i="13"/>
  <c r="H118" i="13"/>
  <c r="F118" i="13"/>
  <c r="J117" i="13"/>
  <c r="H117" i="13"/>
  <c r="F117" i="13"/>
  <c r="J116" i="13"/>
  <c r="H116" i="13"/>
  <c r="F116" i="13"/>
  <c r="J115" i="13"/>
  <c r="H115" i="13"/>
  <c r="F115" i="13"/>
  <c r="J114" i="13"/>
  <c r="H114" i="13"/>
  <c r="F114" i="13"/>
  <c r="J113" i="13"/>
  <c r="H113" i="13"/>
  <c r="F113" i="13"/>
  <c r="J112" i="13"/>
  <c r="H112" i="13"/>
  <c r="F112" i="13"/>
  <c r="J111" i="13"/>
  <c r="H111" i="13"/>
  <c r="F111" i="13"/>
  <c r="J110" i="13"/>
  <c r="H110" i="13"/>
  <c r="F110" i="13"/>
  <c r="J109" i="13"/>
  <c r="H109" i="13"/>
  <c r="F109" i="13"/>
  <c r="J108" i="13"/>
  <c r="H108" i="13"/>
  <c r="F108" i="13"/>
  <c r="J107" i="13"/>
  <c r="H107" i="13"/>
  <c r="F107" i="13"/>
  <c r="J106" i="13"/>
  <c r="H106" i="13"/>
  <c r="F106" i="13"/>
  <c r="J105" i="13"/>
  <c r="H105" i="13"/>
  <c r="F105" i="13"/>
  <c r="D103" i="13"/>
  <c r="F103" i="13" s="1"/>
  <c r="K103" i="13" s="1"/>
  <c r="J102" i="13"/>
  <c r="H102" i="13"/>
  <c r="F102" i="13"/>
  <c r="J101" i="13"/>
  <c r="H101" i="13"/>
  <c r="F101" i="13"/>
  <c r="F99" i="13"/>
  <c r="K99" i="13" s="1"/>
  <c r="J98" i="13"/>
  <c r="H98" i="13"/>
  <c r="F98" i="13"/>
  <c r="J97" i="13"/>
  <c r="H97" i="13"/>
  <c r="F97" i="13"/>
  <c r="J96" i="13"/>
  <c r="H96" i="13"/>
  <c r="F96" i="13"/>
  <c r="J95" i="13"/>
  <c r="H95" i="13"/>
  <c r="F95" i="13"/>
  <c r="J94" i="13"/>
  <c r="H94" i="13"/>
  <c r="F94" i="13"/>
  <c r="J93" i="13"/>
  <c r="H93" i="13"/>
  <c r="F93" i="13"/>
  <c r="J92" i="13"/>
  <c r="H92" i="13"/>
  <c r="F92" i="13"/>
  <c r="J91" i="13"/>
  <c r="H91" i="13"/>
  <c r="F91" i="13"/>
  <c r="F90" i="13"/>
  <c r="K90" i="13" s="1"/>
  <c r="D89" i="13"/>
  <c r="F89" i="13" s="1"/>
  <c r="K89" i="13" s="1"/>
  <c r="D88" i="13"/>
  <c r="F88" i="13" s="1"/>
  <c r="K88" i="13" s="1"/>
  <c r="F87" i="13"/>
  <c r="K87" i="13" s="1"/>
  <c r="D86" i="13"/>
  <c r="F86" i="13" s="1"/>
  <c r="K86" i="13" s="1"/>
  <c r="D85" i="13"/>
  <c r="F85" i="13" s="1"/>
  <c r="K85" i="13" s="1"/>
  <c r="F84" i="13"/>
  <c r="K84" i="13" s="1"/>
  <c r="D83" i="13"/>
  <c r="F83" i="13" s="1"/>
  <c r="K83" i="13" s="1"/>
  <c r="D82" i="13"/>
  <c r="F82" i="13" s="1"/>
  <c r="K82" i="13" s="1"/>
  <c r="J81" i="13"/>
  <c r="H81" i="13"/>
  <c r="J79" i="13"/>
  <c r="H79" i="13"/>
  <c r="F79" i="13"/>
  <c r="J78" i="13"/>
  <c r="H78" i="13"/>
  <c r="F78" i="13"/>
  <c r="J77" i="13"/>
  <c r="H77" i="13"/>
  <c r="F77" i="13"/>
  <c r="D74" i="13"/>
  <c r="F74" i="13" s="1"/>
  <c r="K74" i="13" s="1"/>
  <c r="D72" i="13"/>
  <c r="F72" i="13" s="1"/>
  <c r="K72" i="13" s="1"/>
  <c r="J71" i="13"/>
  <c r="H71" i="13"/>
  <c r="D75" i="13"/>
  <c r="F75" i="13" s="1"/>
  <c r="K75" i="13" s="1"/>
  <c r="F68" i="13"/>
  <c r="K68" i="13" s="1"/>
  <c r="D67" i="13"/>
  <c r="F67" i="13" s="1"/>
  <c r="K67" i="13" s="1"/>
  <c r="D66" i="13"/>
  <c r="F66" i="13" s="1"/>
  <c r="K66" i="13" s="1"/>
  <c r="D65" i="13"/>
  <c r="F65" i="13" s="1"/>
  <c r="K65" i="13" s="1"/>
  <c r="J64" i="13"/>
  <c r="H64" i="13"/>
  <c r="F62" i="13"/>
  <c r="K62" i="13" s="1"/>
  <c r="D60" i="13"/>
  <c r="F60" i="13" s="1"/>
  <c r="K60" i="13" s="1"/>
  <c r="H58" i="13"/>
  <c r="J57" i="13"/>
  <c r="H57" i="13"/>
  <c r="D56" i="13"/>
  <c r="F55" i="13"/>
  <c r="K55" i="13" s="1"/>
  <c r="D54" i="13"/>
  <c r="F54" i="13" s="1"/>
  <c r="K54" i="13" s="1"/>
  <c r="J53" i="13"/>
  <c r="H53" i="13"/>
  <c r="D46" i="13"/>
  <c r="F46" i="13" s="1"/>
  <c r="K46" i="13" s="1"/>
  <c r="F45" i="13"/>
  <c r="K45" i="13" s="1"/>
  <c r="D44" i="13"/>
  <c r="F44" i="13" s="1"/>
  <c r="K44" i="13" s="1"/>
  <c r="D43" i="13"/>
  <c r="F43" i="13" s="1"/>
  <c r="K43" i="13" s="1"/>
  <c r="J42" i="13"/>
  <c r="H42" i="13"/>
  <c r="D40" i="13"/>
  <c r="F40" i="13" s="1"/>
  <c r="K40" i="13" s="1"/>
  <c r="D39" i="13"/>
  <c r="F39" i="13" s="1"/>
  <c r="K39" i="13" s="1"/>
  <c r="D38" i="13"/>
  <c r="F38" i="13" s="1"/>
  <c r="K38" i="13" s="1"/>
  <c r="D37" i="13"/>
  <c r="D41" i="13" s="1"/>
  <c r="F41" i="13" s="1"/>
  <c r="K41" i="13" s="1"/>
  <c r="J36" i="13"/>
  <c r="H36" i="13"/>
  <c r="F35" i="13"/>
  <c r="K35" i="13" s="1"/>
  <c r="D34" i="13"/>
  <c r="F34" i="13" s="1"/>
  <c r="K34" i="13" s="1"/>
  <c r="J33" i="13"/>
  <c r="H33" i="13"/>
  <c r="D30" i="13"/>
  <c r="H30" i="13" s="1"/>
  <c r="J29" i="13"/>
  <c r="H29" i="13"/>
  <c r="J28" i="13"/>
  <c r="H28" i="13"/>
  <c r="H27" i="13"/>
  <c r="K27" i="13" s="1"/>
  <c r="J26" i="13"/>
  <c r="H26" i="13"/>
  <c r="J25" i="13"/>
  <c r="H25" i="13"/>
  <c r="J24" i="13"/>
  <c r="H24" i="13"/>
  <c r="J23" i="13"/>
  <c r="H23" i="13"/>
  <c r="J22" i="13"/>
  <c r="H22" i="13"/>
  <c r="J21" i="13"/>
  <c r="H21" i="13"/>
  <c r="J20" i="13"/>
  <c r="H20" i="13"/>
  <c r="J19" i="13"/>
  <c r="H19" i="13"/>
  <c r="J18" i="13"/>
  <c r="H18" i="13"/>
  <c r="J17" i="13"/>
  <c r="H17" i="13"/>
  <c r="H16" i="13"/>
  <c r="J15" i="13"/>
  <c r="H15" i="13"/>
  <c r="J14" i="13"/>
  <c r="H14" i="13"/>
  <c r="J13" i="13"/>
  <c r="H13" i="13"/>
  <c r="J12" i="13"/>
  <c r="H12" i="13"/>
  <c r="J11" i="13"/>
  <c r="H11" i="13"/>
  <c r="K53" i="13" l="1"/>
  <c r="K28" i="13"/>
  <c r="K127" i="13"/>
  <c r="K109" i="13"/>
  <c r="K77" i="13"/>
  <c r="K79" i="13"/>
  <c r="K113" i="13"/>
  <c r="K25" i="13"/>
  <c r="K23" i="13"/>
  <c r="K18" i="13"/>
  <c r="K29" i="13"/>
  <c r="K107" i="13"/>
  <c r="K81" i="13"/>
  <c r="K116" i="13"/>
  <c r="K64" i="13"/>
  <c r="K20" i="13"/>
  <c r="K105" i="13"/>
  <c r="F56" i="13"/>
  <c r="K56" i="13" s="1"/>
  <c r="K92" i="13"/>
  <c r="K111" i="13"/>
  <c r="K114" i="13"/>
  <c r="K119" i="13"/>
  <c r="K21" i="13"/>
  <c r="K26" i="13"/>
  <c r="J30" i="13"/>
  <c r="K30" i="13" s="1"/>
  <c r="K117" i="13"/>
  <c r="K17" i="13"/>
  <c r="K112" i="13"/>
  <c r="K11" i="13"/>
  <c r="K110" i="13"/>
  <c r="K33" i="13"/>
  <c r="K91" i="13"/>
  <c r="K108" i="13"/>
  <c r="K12" i="13"/>
  <c r="K95" i="13"/>
  <c r="K106" i="13"/>
  <c r="K115" i="13"/>
  <c r="K120" i="13"/>
  <c r="K124" i="13"/>
  <c r="K22" i="13"/>
  <c r="K98" i="13"/>
  <c r="K102" i="13"/>
  <c r="K118" i="13"/>
  <c r="K123" i="13"/>
  <c r="K57" i="13"/>
  <c r="K19" i="13"/>
  <c r="K36" i="13"/>
  <c r="K97" i="13"/>
  <c r="K101" i="13"/>
  <c r="F37" i="13"/>
  <c r="K37" i="13" s="1"/>
  <c r="K13" i="13"/>
  <c r="K96" i="13"/>
  <c r="K125" i="13"/>
  <c r="H128" i="13"/>
  <c r="K128" i="13" s="1"/>
  <c r="K14" i="13"/>
  <c r="K15" i="13"/>
  <c r="K94" i="13"/>
  <c r="K93" i="13"/>
  <c r="K78" i="13"/>
  <c r="D69" i="13"/>
  <c r="F69" i="13" s="1"/>
  <c r="K69" i="13" s="1"/>
  <c r="K42" i="13"/>
  <c r="K24" i="13"/>
  <c r="J58" i="13"/>
  <c r="K58" i="13" s="1"/>
  <c r="J16" i="13"/>
  <c r="K16" i="13" s="1"/>
  <c r="D59" i="13"/>
  <c r="F59" i="13" s="1"/>
  <c r="K59" i="13" s="1"/>
  <c r="K71" i="13"/>
  <c r="D73" i="13"/>
  <c r="F73" i="13" s="1"/>
  <c r="K73" i="13" s="1"/>
  <c r="D48" i="13"/>
  <c r="D63" i="13" l="1"/>
  <c r="F63" i="13" s="1"/>
  <c r="K63" i="13" s="1"/>
  <c r="D61" i="13"/>
  <c r="F61" i="13" s="1"/>
  <c r="K61" i="13" s="1"/>
  <c r="H48" i="13"/>
  <c r="D52" i="13"/>
  <c r="F52" i="13" s="1"/>
  <c r="K52" i="13" s="1"/>
  <c r="D51" i="13"/>
  <c r="D49" i="13"/>
  <c r="D50" i="13" l="1"/>
  <c r="J49" i="13"/>
  <c r="F49" i="13"/>
  <c r="J51" i="13"/>
  <c r="F51" i="13"/>
  <c r="K48" i="13"/>
  <c r="H129" i="13"/>
  <c r="K137" i="13" s="1"/>
  <c r="K51" i="13" l="1"/>
  <c r="K49" i="13"/>
  <c r="J50" i="13"/>
  <c r="J129" i="13" s="1"/>
  <c r="F50" i="13"/>
  <c r="F129" i="13" s="1"/>
  <c r="K50" i="13" l="1"/>
  <c r="K129" i="13" s="1"/>
  <c r="K130" i="13" s="1"/>
  <c r="K131" i="13" s="1"/>
  <c r="K132" i="13" l="1"/>
  <c r="K133" i="13" s="1"/>
  <c r="K134" i="13" l="1"/>
  <c r="K135" i="13" s="1"/>
  <c r="K136" i="13" s="1"/>
  <c r="K138" i="13" s="1"/>
  <c r="K139" i="13" s="1"/>
  <c r="K140" i="13" s="1"/>
  <c r="I5" i="13" s="1"/>
  <c r="D6" i="3" l="1"/>
  <c r="D9" i="3" s="1"/>
  <c r="A10" i="1" s="1"/>
</calcChain>
</file>

<file path=xl/sharedStrings.xml><?xml version="1.0" encoding="utf-8"?>
<sst xmlns="http://schemas.openxmlformats.org/spreadsheetml/2006/main" count="910" uniqueCount="313">
  <si>
    <t>ხარჯთაღრიცხვა № 1-1</t>
  </si>
  <si>
    <t>სახარჯთაღრიცხვო ღირებულება (ლარი)</t>
  </si>
  <si>
    <t>ხარჯთაღრიცხვის დასახელება</t>
  </si>
  <si>
    <t>ხარჯთაღრიცხვის №</t>
  </si>
  <si>
    <t>ხარჯთაღრიცხვა № 1-2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</si>
  <si>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</si>
  <si>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</si>
  <si>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</si>
  <si>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</si>
  <si>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</si>
  <si>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</si>
  <si>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</si>
  <si>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</si>
  <si>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</si>
  <si>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კომპ</t>
  </si>
  <si>
    <t>მ</t>
  </si>
  <si>
    <t>ტნ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</si>
  <si>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</si>
  <si>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</si>
  <si>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</si>
  <si>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</si>
  <si>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</si>
  <si>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</si>
  <si>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</si>
  <si>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</si>
  <si>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გაუთვალისწინებელი ხარჯები</t>
  </si>
  <si>
    <t>საორიენტაციო სახარჯთაღრიცხვო ღირებულება (ლარი)</t>
  </si>
  <si>
    <r>
      <rPr>
        <b/>
        <sz val="10"/>
        <color theme="1"/>
        <rFont val="Cambria"/>
        <family val="1"/>
        <charset val="204"/>
      </rPr>
      <t>l</t>
    </r>
    <r>
      <rPr>
        <b/>
        <sz val="10"/>
        <color theme="1"/>
        <rFont val="Sylfaen"/>
        <family val="1"/>
        <charset val="204"/>
      </rPr>
      <t>.   სადემონტაჟო სამუშაოები</t>
    </r>
  </si>
  <si>
    <r>
      <rPr>
        <b/>
        <sz val="10"/>
        <color theme="1"/>
        <rFont val="Cambria"/>
        <family val="1"/>
        <charset val="204"/>
      </rPr>
      <t>ll</t>
    </r>
    <r>
      <rPr>
        <b/>
        <sz val="10"/>
        <color theme="1"/>
        <rFont val="Sylfaen"/>
        <family val="1"/>
        <charset val="204"/>
      </rPr>
      <t>. სამშენებლო-სამონტაჟო სამუშაოები</t>
    </r>
  </si>
  <si>
    <t xml:space="preserve">სახარჯთაღრიცხვო  ღირ-ბა              </t>
  </si>
  <si>
    <t>ტონ</t>
  </si>
  <si>
    <t>სამშენებლო ნარჩენების შეგროვება-დატვირთვა ა/მ-ზე</t>
  </si>
  <si>
    <t>სამშენებლო ნარჩენების ტრანსპორტირება 20 კმ-ზე</t>
  </si>
  <si>
    <t>N</t>
  </si>
  <si>
    <t>სხვა დამხმარე მასალები</t>
  </si>
  <si>
    <t>ც</t>
  </si>
  <si>
    <t>პლასტმასის დ50 მმ კანალიზაციის მილის მონტაჟი</t>
  </si>
  <si>
    <t>ცალ</t>
  </si>
  <si>
    <t>სპილენძის ძარღვიანი კაბელი ორმაგი იზოლაციით 0.22 კვ, კვეთ. (3Χ2.5)მმ² მონტაჟი გოფრირებულ მილში</t>
  </si>
  <si>
    <t>სპილენძის ძარღვიანი კაბელი ორმაგი იზოლაციით 0.22 კვ, კვეთ. (3Χ1.5)მმ² მონტაჟი გოფრირებულ მილში</t>
  </si>
  <si>
    <t>შტეფსელური როზეტი დამიწების კონტურით 10 ა, 230ვ</t>
  </si>
  <si>
    <t xml:space="preserve">ამომრთველი1 კლავიშიანი 6 ა, 220ვ  </t>
  </si>
  <si>
    <t>ამომრთველი 2 კლავიშიანი 10ა, 220 ვ</t>
  </si>
  <si>
    <t>საპენსიო დანარიცხი</t>
  </si>
  <si>
    <r>
      <t>მ</t>
    </r>
    <r>
      <rPr>
        <sz val="9"/>
        <color theme="1"/>
        <rFont val="Cambria"/>
        <family val="1"/>
        <charset val="204"/>
      </rPr>
      <t>²</t>
    </r>
  </si>
  <si>
    <r>
      <t>მ</t>
    </r>
    <r>
      <rPr>
        <sz val="9"/>
        <color theme="1"/>
        <rFont val="Sylfaen"/>
        <family val="1"/>
      </rPr>
      <t>³</t>
    </r>
  </si>
  <si>
    <r>
      <t>მ</t>
    </r>
    <r>
      <rPr>
        <sz val="9"/>
        <color theme="1"/>
        <rFont val="Calibri"/>
        <family val="2"/>
        <charset val="204"/>
      </rPr>
      <t>³</t>
    </r>
  </si>
  <si>
    <t xml:space="preserve">დამკვეთი: ს.ს. "ევექსის ჰოსპიტლები" </t>
  </si>
  <si>
    <t xml:space="preserve">ქვიშა               </t>
  </si>
  <si>
    <t>თვითსწორებადი იატაკის ფხვნილი</t>
  </si>
  <si>
    <t xml:space="preserve">წებოცემენტი   </t>
  </si>
  <si>
    <t>ფილების სამონტაჟო დეტალები პლასტიკატის</t>
  </si>
  <si>
    <t xml:space="preserve">ცემენტი        </t>
  </si>
  <si>
    <t xml:space="preserve">მეტლახის იატაკის მოწყობა სან.კვანძებში </t>
  </si>
  <si>
    <t>კერამოგრანიტის პლინტუსის მოწყობა  7 სმ</t>
  </si>
  <si>
    <t>კაფელი 250X500X8 ან 200X400X8  მმ, გლუვი თეთრი პრიალა, RAL 9016</t>
  </si>
  <si>
    <t xml:space="preserve">ფითხი   </t>
  </si>
  <si>
    <t xml:space="preserve">ზუმფარა     0.009 </t>
  </si>
  <si>
    <t xml:space="preserve">კედლებზე ლამინირებული დამცავი ბამპერების მოწყობა </t>
  </si>
  <si>
    <t>ლამინირებული "დსპ"  200 მმ * 12 მმ</t>
  </si>
  <si>
    <t>თხევადი ლურსმანი 310 მლ</t>
  </si>
  <si>
    <t>ხრახნი 3 მმ</t>
  </si>
  <si>
    <t>წყალარინება</t>
  </si>
  <si>
    <t>პლასტმასის დ 100 მმ კანალიზაციის მილის მონტაჟი</t>
  </si>
  <si>
    <t xml:space="preserve">ფასონური დეტალები  </t>
  </si>
  <si>
    <t>წერტ</t>
  </si>
  <si>
    <t>ტრაპი კვადრატული "Style SC 800", პრიალა, 100X100 მმ</t>
  </si>
  <si>
    <t>ელექტროობა</t>
  </si>
  <si>
    <t>არმსტრონგის ლედ სანათი 600X600 მმ 72W,  6700lm, ექსპლუატაციის ხანგრძლივობა 50000 საათი, ალუმინის (ჩარჩო)  IP44 კლასი</t>
  </si>
  <si>
    <t>N 1-2</t>
  </si>
  <si>
    <t>N 1-1</t>
  </si>
  <si>
    <t xml:space="preserve">ფუგა  (თეთრი)   </t>
  </si>
  <si>
    <t xml:space="preserve">სამღებრო კუთხოვანა  </t>
  </si>
  <si>
    <t xml:space="preserve">სამღებრო ბადე ლენტა  </t>
  </si>
  <si>
    <t xml:space="preserve">ზედაპირის სასწორებელი პროფილი 0.35*35*3000მმ (მაიაკი) </t>
  </si>
  <si>
    <t>ფილის საჭრელი ალმას. დისკი</t>
  </si>
  <si>
    <t>გრუნტი</t>
  </si>
  <si>
    <t>გამჭედი დუბელი</t>
  </si>
  <si>
    <t>ვინილი  სამედიცინო დანიშნულების  (დამკვეთთან შეთანხმება)</t>
  </si>
  <si>
    <t>არმსტრონგის ჭერის 600x600x12 მმ ფილები, თეთრი, ჰიგიენური (სამედიცინო სფეროსათვის), სინათლის 90% არეკვლა, ნესტგამძლეობა 95% (დამკვეთთან შეთანხმება)</t>
  </si>
  <si>
    <t>სილიკონი 310 მლგ</t>
  </si>
  <si>
    <t>საღებავის გრუნტი</t>
  </si>
  <si>
    <t>ალუმინის 25x25x1.5 მმ კუთხოვანა</t>
  </si>
  <si>
    <t>საშხაპის შემრევი სრული კომპლექტაციით</t>
  </si>
  <si>
    <t>საღებავი ანტიბაქტერიული (დამკვეთთან შეთანხმება)</t>
  </si>
  <si>
    <t>ავტომატური ამომრთველი  63ა</t>
  </si>
  <si>
    <t>ავტომატური ამომრთველი  50ა</t>
  </si>
  <si>
    <t>ავტომატური ამომრთველი  32ა</t>
  </si>
  <si>
    <t>ავტომატური ამომრთველი  25ა</t>
  </si>
  <si>
    <t>ერთფაზა ავტომატური ამომრთველი  16ა, დიფ.დაცვით</t>
  </si>
  <si>
    <t>ერთფაზა ავტომატური ამომრთველი  16ა</t>
  </si>
  <si>
    <t>ერთფაზა ავტომატური ამომრთველი  10ა</t>
  </si>
  <si>
    <t>პლასტმასის გამანაწ. კარადა საკეტით 0.4 კვ,28მოდ.</t>
  </si>
  <si>
    <t xml:space="preserve">სპილენძის 3X4mm2 კაბელის მონტაჟი </t>
  </si>
  <si>
    <t>ს/კ  01.13.02.009.013</t>
  </si>
  <si>
    <t>II სართული</t>
  </si>
  <si>
    <t>III  სართული</t>
  </si>
  <si>
    <t xml:space="preserve">ქ. ბათუმი, აეროპორტის გზატკეცილი № 64 დედათა და  ბავშვთა  საავადმყოფო   </t>
  </si>
  <si>
    <t xml:space="preserve">     </t>
  </si>
  <si>
    <t>სამედიცინო აირები</t>
  </si>
  <si>
    <t>ამორტიზირებული სავენტილაციო გამწოვების დემონტაჟი სან/კვანძებში</t>
  </si>
  <si>
    <t>გათბობის დ25მმ და დ20 მმ მილგაყვანილობის ჩაჭრა - დემონტაჟი</t>
  </si>
  <si>
    <t>გრძ.მ.</t>
  </si>
  <si>
    <t>ამორტიზირებული უნიტაზების დემონტაჟი ჩამრეცხებით</t>
  </si>
  <si>
    <t>კომპლ</t>
  </si>
  <si>
    <t>ამორტიზირებული ხელსაბანი ნიჟარების  დემონტაჟი შლანგებით და ვინტილებით  სან/კვანძებში და ოთახებში</t>
  </si>
  <si>
    <t>ცივი და ცხელი დ25მმ და დ20მმ მილგაყვანილობის ჩაჭრა და დემონტაჟი</t>
  </si>
  <si>
    <t xml:space="preserve"> სან/კვანძებში კედლებზე და ოთახებში ხელსაბანის ფართუკზე კაფელის ამორტიზირებული ფილების ჩამოხსნა -  კედლების გასუფთავება</t>
  </si>
  <si>
    <t>7 ცალ მტ/პლასტმასის ფანჯარაში დაზიანებული მინაპაკეტები დემონტაჟი</t>
  </si>
  <si>
    <t xml:space="preserve">ამორტიზირებული კონდიციონერების შიდა და გარე ბლოკების და მილგაყვანილობის დემონტაჟი </t>
  </si>
  <si>
    <t>ფანჯრებზე ძველი ამორტიზირებული ფარდა-ჟალუზების დემონტაჟი</t>
  </si>
  <si>
    <t>სამშენებლო ნარჩენების შეგროვება ჩამოტანა და დატვირთვა ა/მ-ზე</t>
  </si>
  <si>
    <t>ელ. როზეტების, ჩამრთველებისა და ამსრტონგისა და  ჭერში ჩაფლული სანათების დემონტაჟი (არსებული ელ.სადენების შენარჩუნებით)</t>
  </si>
  <si>
    <t>სან/კვანძებისა და ოთახების კარის ბლოკების დემონტაჟი</t>
  </si>
  <si>
    <t>ფანჯრებზე ძველი ამორტიზირებული რაფების  დემონტაჟი</t>
  </si>
  <si>
    <t xml:space="preserve"> II  სართულებზე  ჩასატარებელი სარემონტო სამუშაოების ხარჯთაღრიცხვა                                                                                       </t>
  </si>
  <si>
    <t>სარემონტო სამუშაოების კრებსითი  ხარჯთაღრიცხვა</t>
  </si>
  <si>
    <t>იატაკზე ჰიდროიზოლაციის მოწყობა სან/კვანძებისათვის</t>
  </si>
  <si>
    <r>
      <t>მ</t>
    </r>
    <r>
      <rPr>
        <b/>
        <sz val="9"/>
        <color theme="1"/>
        <rFont val="Cambria"/>
        <family val="1"/>
        <charset val="204"/>
      </rPr>
      <t>²</t>
    </r>
  </si>
  <si>
    <t>ჰიდროსაიზოლაციო მასალა</t>
  </si>
  <si>
    <t>კუთხის ლენტი ჰიდროიზოლაციის</t>
  </si>
  <si>
    <t>სამონტაჟო მაკომპლექტებელი პლასტმასის (ჯვრები და სხვა)</t>
  </si>
  <si>
    <t>იატაკები</t>
  </si>
  <si>
    <t xml:space="preserve">იატაკზე ქვიშა-ცემენტის 5 სმ მჭიმის მოწყობა  </t>
  </si>
  <si>
    <t>ჭერები</t>
  </si>
  <si>
    <t>კარ-ფანჯრები</t>
  </si>
  <si>
    <r>
      <t>მ</t>
    </r>
    <r>
      <rPr>
        <b/>
        <sz val="10"/>
        <color theme="1"/>
        <rFont val="Calibri"/>
        <family val="2"/>
        <charset val="204"/>
      </rPr>
      <t>²</t>
    </r>
  </si>
  <si>
    <t>ტიხრები და კედლები</t>
  </si>
  <si>
    <r>
      <t xml:space="preserve">ტიხრების წიბოების დამცავი უჟანგავი ლითონის  25x25x1.5 მმ კუთხოვანას მოწყობა </t>
    </r>
    <r>
      <rPr>
        <sz val="10"/>
        <color theme="1"/>
        <rFont val="Sylfaen"/>
        <family val="1"/>
      </rPr>
      <t>(1.5 მ. სიმაღლეზე)</t>
    </r>
  </si>
  <si>
    <t>კედლებზე კერამიკული ფილების მოწყობა სან/კვანძებში, ხელსაბანის ფართუკები, სამანიპულაციო ოთახებში  და სამზარეულოში</t>
  </si>
  <si>
    <t>მეტალოპლასტმასის ფანჯრის ბლოკებში დაზიანებული მინაპაკეტის ნაცვლად ახალი მონაპაკეტის ბლოკის ჩასმა  7ცალი</t>
  </si>
  <si>
    <t>სამღებრო სამუშაოები</t>
  </si>
  <si>
    <t>სამზარეულოს უჟანგავი ლითონის ნიჟარა შემრევით, სიფონით, დრეკადი შლანგებით</t>
  </si>
  <si>
    <t>ხელსაბანი ნიჟარა კერამიკული 60X50X800 მმ, ბოთლისებრი სიფონით, შემრევი ქრომირებული ლატუნი, კერამიკული კარტრიჯით, ცხვირი10სმ-მდე, დრეკადი მილები 60სმ და საშხაპე ყურმილით, მაღალი ხარისხის აქსესუარებით  (სან/კვანძებში-56 ც.  პერსონალის ოთახებში-22ც)</t>
  </si>
  <si>
    <t>დ=150 მმ გამწოვი ვენტილატორის მონტაჟი სან/კვანძებში</t>
  </si>
  <si>
    <t>სპლიტ კონდიციონერების მონტაჟი ოთახებში BTU12000</t>
  </si>
  <si>
    <t>გ.მ</t>
  </si>
  <si>
    <t>ჟანგბადის სწაფჩამრთველი</t>
  </si>
  <si>
    <r>
      <t xml:space="preserve"> პალატის კედლის პანელის მონტაჟი ჟანგბადით, შეკუმშული აირით და 4 როზეტით 1400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200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200  M-46</t>
    </r>
  </si>
  <si>
    <t>ლარ</t>
  </si>
  <si>
    <r>
      <t xml:space="preserve"> სპილენძის მილის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Sylfaen"/>
        <family val="1"/>
        <charset val="204"/>
      </rPr>
      <t>15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1 მმ  მონტაჟი  (№5-6 ოთახებში ჟანგბადის 2-2 წერტილის მოწყობა) დაერთება ჟანგბადის მაგისტრალზე სხვენში</t>
    </r>
  </si>
  <si>
    <t xml:space="preserve"> III  სართულებზე  ჩასატარებელი სარემონტო სამუშაოების ხარჯთაღრიცხვა                                                                                       </t>
  </si>
  <si>
    <t>სან/კვანძებში  პლასტიკატის შეკიდული ჭერების დემონტაჟი კარკასის დაშლით</t>
  </si>
  <si>
    <t xml:space="preserve">სანიტარულ ოთახებში ამორტიზირებული უჟანგავი ლითონის ჩანების დემონტაჟი </t>
  </si>
  <si>
    <t xml:space="preserve">სანიტარულ  საპროცედურო ოთახებში ამორტიზირებული უჟანგავი ლითონის ჩანების დემონტაჟი </t>
  </si>
  <si>
    <t>კერამოგრანიტის 7.0 სმ პლინტუსების მოხსნა</t>
  </si>
  <si>
    <t xml:space="preserve">თაბ.მუყ. ფილა </t>
  </si>
  <si>
    <t>პროფილი CD 27/60/27/0.50; UD 0.50 და  ხრახნები, გამჭედი დუბელი და სხვა მასალები 1მ² მოპირკეთებაზე</t>
  </si>
  <si>
    <t xml:space="preserve">საიზოლაციო მასალა  ქვაბამბა 50 მმ  </t>
  </si>
  <si>
    <t>საღებავი წმენდადი  ემულსიური RAL 9003 (დამკვეთთან შეთანხმება)</t>
  </si>
  <si>
    <t>საღებავი წმენდადი ემულსიური  RAL 9003 (დამკვეთთან შეთანხმება)</t>
  </si>
  <si>
    <t>კედლებზე ლამინირებული დამცავი ბამპერების მოწყობა  კორიდორებში</t>
  </si>
  <si>
    <t>საღებავი ანტიბაქტერიული</t>
  </si>
  <si>
    <t>უნიტაზი ავზით კერამიკული  760X360X630 მმ, ანტიბაქტერიული სახურავით, "Sanit" ტიპის ან მსგავსი, უნივერსალური მექანიზმით, მაღალი ხარისხის აქსესუარებით</t>
  </si>
  <si>
    <t>სამანიპულაციო და სანიტარული ოთახებისთვის უჟანგავი ლითონის საწარმოო ნიჟარა 530*500*500 მმ</t>
  </si>
  <si>
    <t xml:space="preserve"> გაგრილება</t>
  </si>
  <si>
    <t>დერეფნებში ახალი კოლონური კონდიციონერების მონტაჟი 48000 BTU (100მ²-150მ²)</t>
  </si>
  <si>
    <t xml:space="preserve">არმსტრონგის ჭერის Т 24 ტიპის პროფილი შავი ზოლით, საკიდი  და სხვა დეტალებით </t>
  </si>
  <si>
    <t>ტიხრების და  კედლების  დამუშავება-შეღებვა  წმენდადი ემულსიური საღებავით</t>
  </si>
  <si>
    <t xml:space="preserve"> </t>
  </si>
  <si>
    <t xml:space="preserve">სან.კვანძებში, სამზარეულოში და სამანიპულაციო ოთახებში  მეტლახის იატაკების  დემონტაჟი </t>
  </si>
  <si>
    <t xml:space="preserve">თაბ.მუყ. ფილა  ნესტგამძლე სისქე 12.5მმ    </t>
  </si>
  <si>
    <t>პროფილები დგარის CD 75*0,5 მმ, მიმმართვ. UD    75*0,5; ხრახნები, გამჭედი დუბელი და სხვა მასალები 1მ² შემოსვაზე</t>
  </si>
  <si>
    <r>
      <t>არმსტრონგის შეკიდული ჭერის მოწყობა დემონტირებულ ადგილებზე და სან/კვანძებში  (350+109.5)მ</t>
    </r>
    <r>
      <rPr>
        <b/>
        <sz val="10"/>
        <color theme="1"/>
        <rFont val="Calibri"/>
        <family val="2"/>
        <charset val="204"/>
      </rPr>
      <t>²</t>
    </r>
  </si>
  <si>
    <r>
      <rPr>
        <b/>
        <sz val="11"/>
        <color theme="1"/>
        <rFont val="Cambria"/>
        <family val="1"/>
        <charset val="204"/>
      </rPr>
      <t>ll</t>
    </r>
    <r>
      <rPr>
        <b/>
        <sz val="11"/>
        <color theme="1"/>
        <rFont val="Sylfaen"/>
        <family val="1"/>
        <charset val="204"/>
      </rPr>
      <t>. სამშენებლო-სამონტაჟო სამუშაოები</t>
    </r>
  </si>
  <si>
    <t xml:space="preserve">ქვიშა-ცემენტის 5 სმ მჭიმის მოხსნა დემონტირებული მეთლახის, კერამოგრანიტის და ლამინირებული საფარის ქვეშ </t>
  </si>
  <si>
    <t>ძაფი პოლივინილქლორიდის</t>
  </si>
  <si>
    <t xml:space="preserve">ვინილის წებო უზინი ან მსგავსი    </t>
  </si>
  <si>
    <t xml:space="preserve">წებო ბიზონკიტი ან მსგავსი </t>
  </si>
  <si>
    <t>წებო გრაფიტის (ანტისტატიკური ვინილისათვის)</t>
  </si>
  <si>
    <r>
      <t>პალატებში,</t>
    </r>
    <r>
      <rPr>
        <sz val="10"/>
        <color rgb="FFFF0000"/>
        <rFont val="Sylfaen"/>
        <family val="1"/>
        <charset val="204"/>
      </rPr>
      <t xml:space="preserve"> საორდინატოროებში, ექთნებისა და სხვა სამუშაო ოთახებში იატაკებზე</t>
    </r>
    <r>
      <rPr>
        <sz val="10"/>
        <color theme="1"/>
        <rFont val="Sylfaen"/>
        <family val="1"/>
      </rPr>
      <t xml:space="preserve">   ლამინირებული იატაკის საფარის დემონტაჟი ქვესაგებთან ერთად</t>
    </r>
  </si>
  <si>
    <t xml:space="preserve">ქვიშა-ცემენტის 5 სმ მჭიმის მოხსნა დემონტირებული მეთლახის, ვინილის, კერამოგრანიტის და ლამინირებული საფარის ქვეშ </t>
  </si>
  <si>
    <t>თ/მუყაოს შეკიდული ჭერის ჩამოხსნა  საოპერაციოში, წინასაოპერაციო,  ჩვილ ბავშვთა სამანიპულაციო ოთახებში და მოზრდილთა კრიტიკულ პალატაში.   კარკასის დაშლით   (ნაწილობრივ, დაზიანებული ადგილები)</t>
  </si>
  <si>
    <t>თაბაშირ/მუყაოს ტიხრების დაშლა კარკასთან ერთად (2 პალატის გაერთიანება 1 პალატად)</t>
  </si>
  <si>
    <t>პალატების სადემონტაჟო ტიხრებში არსებული შეღებილი  მდფ-ის კარის ბლოკების დემონტაჟი</t>
  </si>
  <si>
    <t>ვინილი  ანტისტატიკური, ანტიბაქტერიული  (დამკვეთთან შეთანხმება)</t>
  </si>
  <si>
    <t xml:space="preserve">სან.კვანძებში და სანიტარულ ოთახებში  მეტლახის იატაკების  დემონტაჟი </t>
  </si>
  <si>
    <t>თ/მუყაოს შეკიდული ჭერის მოწყობა საოპერაციოში, წინასაოპერაციო,  ჩვილ ბავშვთა სამანიპულაციო ოთახებში და მოზრდილთა კრიტიკულ პალატაში (დემონტირებულ ადგილებზე)</t>
  </si>
  <si>
    <t>კერამოგრანიტის ფილების მოწყობა იატაკზე ფოიეებში და კორიდორებში  დემონტირებულ ადგილებზე (არსებულთან შეთანხმებით)</t>
  </si>
  <si>
    <t>კერამოგრანიტის ფილების მოწყობა იატაკზე ფოიეებში და კორიდორებში  დემონტირებულ ადგილებზე (არსებულთან შეთანხმებით 50% ახალი მასალით)</t>
  </si>
  <si>
    <t>53</t>
  </si>
  <si>
    <t>მ³</t>
  </si>
  <si>
    <t xml:space="preserve">მეტლახის იატაკის მოწყობა სან.კვანძებში და სანიტარულ ოთახში </t>
  </si>
  <si>
    <t>კერამოგრანიტის  ფილა არსებულთან შეხამებით</t>
  </si>
  <si>
    <t>საოპერაციოში კედლებიდან თაბაშირ/მუყაოს მოპირკეთების მოხსნა კარკასთან ერთად</t>
  </si>
  <si>
    <t>საოპერაციოში კედლების   შემოსვა რადიაციული გამოსხივების საწინააღმდეგო ტყვიაშემცველი  თ/მუყაოს ფილებით</t>
  </si>
  <si>
    <t xml:space="preserve">კედლებზე კერამიკული ფილების მოწყობა სან/კვანძებში, ხელსაბანის ფართუკები, სამანიპულაციო ოთახებში </t>
  </si>
  <si>
    <r>
      <t>საოპერაციოს ორფრთიანი კარის ბლოკის მონტაჟი, რადიაციული გამოსხივების საწინააღმდეგო ტყვიაშემცველი ფირფიტებით დაფარული, 1500X2150 მმ,  (წინ და უკან) მაღალი ხარისხის მექნიზმებით და საკეტ/სახელურით, RAL 5015; RAL9010</t>
    </r>
    <r>
      <rPr>
        <sz val="10"/>
        <color theme="1"/>
        <rFont val="Sylfaen"/>
        <family val="1"/>
      </rPr>
      <t xml:space="preserve"> (დამკვეთთან შეთანხმება)</t>
    </r>
  </si>
  <si>
    <r>
      <t>საოპერაციოს ერთფრთიანი კარის ბლოკის მონტაჟი, რადიაციული გამოსხივების საწინააღმდეგო ტყვიაშემცველი ფირფიტებით დაფარული, 900X2150 მმ, (წინ და უკან)  მაღალი ხარისხის მექნიზმებით და საკეტ/სახელურით, RAL 5015; RAL9010</t>
    </r>
    <r>
      <rPr>
        <sz val="10"/>
        <color theme="1"/>
        <rFont val="Sylfaen"/>
        <family val="1"/>
      </rPr>
      <t xml:space="preserve"> (დამკვეთთან შეთანხმება)</t>
    </r>
  </si>
  <si>
    <t xml:space="preserve">კერამოგრანიტის  ფილა არსებულთან შეხამებით, </t>
  </si>
  <si>
    <t xml:space="preserve">კორიდორებში და ფოიეებში იატაკზე ნაწილობრივ, დაზიანებულ ადგილებზე კერამოგრანიტის საფარის მოხსნა </t>
  </si>
  <si>
    <t>კორიდორებში და ფოიეებში იატაკზე ნაწილობრივ, დაზიანებულ ადგილებზე კერამოგრანიტის საფარის მოხსნა</t>
  </si>
  <si>
    <t>2022 წლის  5 სექტემბერი</t>
  </si>
  <si>
    <t>ეს მოცულობა დამოკიდებულია რა სიმძლავრის აპარატს იყენებენ</t>
  </si>
  <si>
    <t>რეგულაციებიდან გამომდინარე ჩაემატა ეს მასალა პალატებში</t>
  </si>
  <si>
    <t>„</t>
  </si>
  <si>
    <t>პედიატრიული განყოფილება, ინფექციური განყოფილება ბოქსირებული პალატებიტ უნდა იყოს</t>
  </si>
  <si>
    <t>ქირურგია, ნეონატოლოგია 3 დონე, რეანიმაცია, საოპერაციო</t>
  </si>
  <si>
    <t>ეს იმ შმთხვევაში თუ გათბობის მონტაჟი მოგვიწევს</t>
  </si>
  <si>
    <t>თუ მხოლოდ დაზიანებულია შესაძლებელია ჩაკერდეს</t>
  </si>
  <si>
    <t xml:space="preserve">იატაკებს აქვთ წყლის გაჟონვის ფაქტი .თუ შსაძლებელია ზედაპირულად მოიხსნას ეს პრობლემა მაშინ ეს პუნქტი ამოსაღებია </t>
  </si>
  <si>
    <t>დემონტაჟი ინდივიდუალურად დაზიანებულ კვანძებში განხორციელდება</t>
  </si>
  <si>
    <t xml:space="preserve">ნაწილობრივ ამოცვლა </t>
  </si>
  <si>
    <t>ეს პუნქტი ამოსაღებია ვინაიდან კერამიკულ ფილას ვაგებთ პლატებში</t>
  </si>
  <si>
    <t>არმსტრონგის შეკიდული ჭერზე ნაწილობრივ, დაზიანებული ადგილების   დემონტაჟი ლითონის კარკასის დაშლით</t>
  </si>
  <si>
    <t>კერამოგრანიტის იატაკის საფარის მოხსნა    საოპერაციოში, წინასაოპერაციო,  ჩვილ ბავშვთა სამანიპულაციო ოთახებში და მოზრდილთა კრიტიკულ პალატაში. (პლინტუსების ჩათვლით)</t>
  </si>
  <si>
    <r>
      <t xml:space="preserve"> თვითსწორებადი იატაკის მოწყობა </t>
    </r>
    <r>
      <rPr>
        <b/>
        <sz val="10"/>
        <color rgb="FFFF0000"/>
        <rFont val="Sylfaen"/>
        <family val="1"/>
        <charset val="204"/>
      </rPr>
      <t xml:space="preserve"> </t>
    </r>
    <r>
      <rPr>
        <b/>
        <sz val="10"/>
        <color theme="1"/>
        <rFont val="Sylfaen"/>
        <family val="1"/>
      </rPr>
      <t>საოპერაციოში, წინასაოპერაციოებში</t>
    </r>
  </si>
  <si>
    <t>ანტისტატიკური, ანტიბაქტერიული ვინილის იატაკების მოწყობა  საოპერაციოში(პლინტუსებით)</t>
  </si>
  <si>
    <r>
      <t>არმსტრონგის შეკიდული ჭერის მოწყობა დემონტირებულ ადგილებზე და სან/კვანძებში  (280+84)მ</t>
    </r>
    <r>
      <rPr>
        <b/>
        <sz val="10"/>
        <color theme="1"/>
        <rFont val="Calibri"/>
        <family val="2"/>
        <charset val="204"/>
      </rPr>
      <t>²</t>
    </r>
  </si>
  <si>
    <t>2 ლიტრი 1 კარზე</t>
  </si>
  <si>
    <t>კარის ბლოკის და კარის გულის რესტავრაცია, გასუფთავება, ღებვა, კარის გულების გამოცვლა, სახელურის გამოცვლა, ანჯამების ჩამატება 900*2150 მმ</t>
  </si>
  <si>
    <t>კარის ბლოკის და კარის გულის რესტავრაცია, გასუფთავება, ღებვა, კარის გულების 1500*2150 მმ</t>
  </si>
  <si>
    <t>ტიხრების და  კედლებისა  დამუშავება-შეღებვა  წმენდადი ემულსიური საღებავით</t>
  </si>
  <si>
    <t>თ/მუყაოს  ჭერის დამუშავება და შეღებვა  ანტიბაქტერიული საღებავით საოპერაციოში</t>
  </si>
  <si>
    <t xml:space="preserve">კედლების და ტიხრების დამუშავება და შეღებვა ანტიბაქტერიული საღებავით საოპერაციოებში </t>
  </si>
  <si>
    <t>ხარჯთაღრიცხვა სახიფათო ნარჩენები</t>
  </si>
  <si>
    <t>ეზო</t>
  </si>
  <si>
    <t>(კორექტირებული 3)</t>
  </si>
  <si>
    <t xml:space="preserve">ქ. ბათუმი, აეროპორტის გზატკეცილი N64, მ.იაშვილის სახელობის ბათუმის დედათა და ბავშვთა ცენტრალური ჰოსპიტლის ტერიტორიაზე საცავის ( 8 X 17.5 მ ) მშენებლობის სამუშაოები </t>
  </si>
  <si>
    <t>2022 წლის 29 ივნისი</t>
  </si>
  <si>
    <t xml:space="preserve">  ღირ-ბა   ლარი</t>
  </si>
  <si>
    <t>NN</t>
  </si>
  <si>
    <t>(8 X 17.5მ)</t>
  </si>
  <si>
    <t>მონოლითური საძირკველი და იატაკები</t>
  </si>
  <si>
    <t xml:space="preserve">მონოლითური რკ/ბეტონის  ლენტუტრი საძირკვლის მონოლითური სვეტების ბალიშების მოწყობა </t>
  </si>
  <si>
    <r>
      <t>მ</t>
    </r>
    <r>
      <rPr>
        <sz val="9"/>
        <color theme="1"/>
        <rFont val="Cambria"/>
        <family val="1"/>
        <charset val="204"/>
      </rPr>
      <t>³</t>
    </r>
  </si>
  <si>
    <t xml:space="preserve">ბეტონი  B25   W8 </t>
  </si>
  <si>
    <t>A-500 Ø 12  არმატურა</t>
  </si>
  <si>
    <t>A500 18  არმატურა</t>
  </si>
  <si>
    <t>A-240 Ø 8  არმატურა</t>
  </si>
  <si>
    <t xml:space="preserve">საქსოვი მავთული გამომწვარი </t>
  </si>
  <si>
    <t xml:space="preserve">მოსაჭიმი მავთული გამომწვარი </t>
  </si>
  <si>
    <t>ფიცარი 40 X 200 მმ</t>
  </si>
  <si>
    <t>ლურსმანი</t>
  </si>
  <si>
    <t>ლითონის საჭრელი დისკი</t>
  </si>
  <si>
    <t xml:space="preserve">სხვა მასალები    </t>
  </si>
  <si>
    <r>
      <t>არმირებული ბეტონის იატაკის მოწყობა</t>
    </r>
    <r>
      <rPr>
        <b/>
        <sz val="10"/>
        <color theme="1"/>
        <rFont val="Sylfaen"/>
        <family val="1"/>
      </rPr>
      <t xml:space="preserve"> და  მექანიზირებული მოხვეწა/მოსწორება</t>
    </r>
  </si>
  <si>
    <t xml:space="preserve">ბეტონი  B20   </t>
  </si>
  <si>
    <t>მავთულბადე შედუღებული უჯრებით 25X 25X 4 მმ</t>
  </si>
  <si>
    <t>ბალასტი/ღორღი</t>
  </si>
  <si>
    <t>პოლიეთილენის ჰიდროსაიზოლაციო ფენა</t>
  </si>
  <si>
    <t xml:space="preserve">ბეტონის იატაკის დამუშავება და შეღებვა ბეტონის საღებავით </t>
  </si>
  <si>
    <t xml:space="preserve">საღებავი ბეტონის </t>
  </si>
  <si>
    <t>ფითხი ემულსიური დანამატით</t>
  </si>
  <si>
    <t>მეტლახის იატაკის მოწყობა ნარჩენების ოთახში</t>
  </si>
  <si>
    <t xml:space="preserve">მეტლახის ფილა  </t>
  </si>
  <si>
    <t>ფუგა     0.04</t>
  </si>
  <si>
    <t>კედლები და ტიხრები</t>
  </si>
  <si>
    <t xml:space="preserve">კედლების ამოშენება 30Χ40Χ20 ბლოკით </t>
  </si>
  <si>
    <t xml:space="preserve">ტიხრების ამოშენება 20Χ40Χ20 ბლოკით </t>
  </si>
  <si>
    <t>კედლებისა და ტიხრების შელესვა ქვიშაცემენტით</t>
  </si>
  <si>
    <t xml:space="preserve">ქვიშა-ცემენტის ხსნარი        </t>
  </si>
  <si>
    <t xml:space="preserve">ბლოკი  15Χ40Χ20      </t>
  </si>
  <si>
    <t>ცალი</t>
  </si>
  <si>
    <t xml:space="preserve">ბლოკი  20Χ40Χ20      </t>
  </si>
  <si>
    <t>A-240 Ø 6  არმატურა</t>
  </si>
  <si>
    <r>
      <t xml:space="preserve">მონ. რკ/ბეტონის 6 სვეტის </t>
    </r>
    <r>
      <rPr>
        <sz val="10"/>
        <color theme="1"/>
        <rFont val="Sylfaen"/>
        <family val="1"/>
      </rPr>
      <t xml:space="preserve"> </t>
    </r>
    <r>
      <rPr>
        <b/>
        <sz val="10"/>
        <color theme="1"/>
        <rFont val="Sylfaen"/>
        <family val="1"/>
        <charset val="204"/>
      </rPr>
      <t xml:space="preserve">მოწყობა B25 W8  ბეტონით  </t>
    </r>
  </si>
  <si>
    <t xml:space="preserve">ბეტონი  B25 W8  </t>
  </si>
  <si>
    <t xml:space="preserve">ყალიბის ფარები18მმ   </t>
  </si>
  <si>
    <t xml:space="preserve">ფიცარი 40მმ    </t>
  </si>
  <si>
    <t>A240  8  არმატურა</t>
  </si>
  <si>
    <r>
      <t xml:space="preserve">რკ/ბეტონის სარტყელების მოწყობა B25 W8  ბეტონით </t>
    </r>
    <r>
      <rPr>
        <sz val="10"/>
        <color theme="1"/>
        <rFont val="Sylfaen"/>
        <family val="1"/>
      </rPr>
      <t>(30Χ20სმ - 70მ; 20Χ20სმ - 16მ.)</t>
    </r>
  </si>
  <si>
    <t xml:space="preserve">მონ რკ/ბეტონის გადახურვის ფილის მოწყობა </t>
  </si>
  <si>
    <t xml:space="preserve">ბეტონი  B25 W8 </t>
  </si>
  <si>
    <t xml:space="preserve">ყალიბის ფარები18 მმ     </t>
  </si>
  <si>
    <r>
      <t xml:space="preserve">სახურავზე პარაპტის მოწყობა  20Χ40Χ20 ბლოკით და შელესვა ორივე მხარეს </t>
    </r>
    <r>
      <rPr>
        <sz val="10"/>
        <color theme="1"/>
        <rFont val="Sylfaen"/>
        <family val="1"/>
      </rPr>
      <t>(8+18+8 მ)</t>
    </r>
  </si>
  <si>
    <t>ბლოკი 20Χ40Χ20</t>
  </si>
  <si>
    <t>თუნუქის 0.5 მმ ფურცელი</t>
  </si>
  <si>
    <t>სახურავი</t>
  </si>
  <si>
    <t>პემზის დამათბუნებელი ფენის მოწყობა სახურავზე საშ სისქით 8 სმ</t>
  </si>
  <si>
    <t xml:space="preserve">პემზა     </t>
  </si>
  <si>
    <t>ქვიშა-ცემენტის 5სმ სისქის მჭიმის მოწყობა</t>
  </si>
  <si>
    <t>ქვიშა-ცემენტის ხსნარი    M100</t>
  </si>
  <si>
    <t>სხვა მასალები    0.064</t>
  </si>
  <si>
    <t>ორი ფენა ლინოკრომის საფარის მოწყობა სახურავზე</t>
  </si>
  <si>
    <t xml:space="preserve">ლინოკრომი  ქვედა ფენა   </t>
  </si>
  <si>
    <t xml:space="preserve">ლინოკრომი ზედა ფენა ბრონირებული   </t>
  </si>
  <si>
    <t xml:space="preserve">ბითუმის მასტიკა     </t>
  </si>
  <si>
    <t xml:space="preserve">თხევადი გაზი   </t>
  </si>
  <si>
    <t>ღებვა</t>
  </si>
  <si>
    <t xml:space="preserve">ჭერის, ტიხრებისა და კედლების დამუშავება და შეღებვა </t>
  </si>
  <si>
    <t xml:space="preserve">ემულსიური საღებავი </t>
  </si>
  <si>
    <t xml:space="preserve">ფასადის საღებავი </t>
  </si>
  <si>
    <t>მეტალოპლასტმასის ფანჯრის ბლოკების მონტაჟი</t>
  </si>
  <si>
    <t>მეტალოპლასტმასის ფანჯრის ბლოკი 1000X3000 მმ, 0.8 მ² -5ც, გაღება/კიდებით, ერთშრიანი მინაპაკეტი 4 მმ შუშით</t>
  </si>
  <si>
    <t>მეტალოპლასტმასის ფანჯრის ბლოკი 1000X1500 მმ, 0.7 მ² გაღება/კიდებით 1 ც, ერთშრიანი მინაპაკეტი 4 მმ შუშით</t>
  </si>
  <si>
    <t>სამაგრი ანკერები</t>
  </si>
  <si>
    <t>სამონტაჟო ქაფი 1000 მლგ</t>
  </si>
  <si>
    <t xml:space="preserve">დამხმარე მასალები </t>
  </si>
  <si>
    <t>ელექტრო სამუშაოები</t>
  </si>
  <si>
    <t>პლასტმასის გამანაწ. კარადა საკეტით 0.4 კვ, 13 მოდ.  აავტომატური ამომრთველებით 63ა,220ვ-1ც; 25ა,220ვ 4ც; 16ა,220ვ-8 ც</t>
  </si>
  <si>
    <t xml:space="preserve">სპილენძის 3X2,5mm2 კაბელის  მონტაჟი </t>
  </si>
  <si>
    <t>გ/მ</t>
  </si>
  <si>
    <t xml:space="preserve">სპილენძის 3X1,5mm2  კაბელის  მონტაჟი </t>
  </si>
  <si>
    <t xml:space="preserve">შტეფსელური როზეტი დამიწების კონტაქტით,  დახურული დაყ. 10ა, 230ვ </t>
  </si>
  <si>
    <t xml:space="preserve">ჩამრთველი ერთ  კლავიშიანი,  6ა  220ვ  </t>
  </si>
  <si>
    <t xml:space="preserve">ჩამრთველი ორ  კლავიშიანი,  10ა  220ვ  </t>
  </si>
  <si>
    <t>სანათი 1070×160×115 მმ</t>
  </si>
  <si>
    <t xml:space="preserve">დამიწების კონტურის მოწყობა </t>
  </si>
  <si>
    <t>წყალგაყვანილობა/წყალარინება</t>
  </si>
  <si>
    <t>პოლიეთილენის ცივი წყლის მილის მონტაჟი SDR11 PN 16 Ø20</t>
  </si>
  <si>
    <t xml:space="preserve"> Ø20 მმ არკო ვენტილი გადამყვანით</t>
  </si>
  <si>
    <t>გადამყვანი "ამერიკანკა"</t>
  </si>
  <si>
    <t>ფასონური დეტალები</t>
  </si>
  <si>
    <t>საწარმოო ნიჟარა ონკანით</t>
  </si>
  <si>
    <t xml:space="preserve">ფასონური დეტალები და დამხმარე მასალები  </t>
  </si>
  <si>
    <t>დღგ</t>
  </si>
  <si>
    <t>სახიფათო ნარჩენების ოთახი, საწყობი</t>
  </si>
  <si>
    <t>ქ, ბათუმის  ბავშვთა  საავადმყოფოს II, III სართულებზე და ეზოში  ჩასატარებელი სარემონტო/სამშენებლო სამუშაოების ხარჯთაღრიცხვა</t>
  </si>
  <si>
    <t>%</t>
  </si>
  <si>
    <t xml:space="preserve">შეადგინა: </t>
  </si>
  <si>
    <t xml:space="preserve">მობ. </t>
  </si>
  <si>
    <t>ქ.თბილისი  2022 წლის ოქტომბერი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</si>
</sst>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0"/>
      <color theme="1"/>
      <name val="Cambria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sz val="9"/>
      <color theme="1"/>
      <name val="Cambria"/>
      <family val="1"/>
      <charset val="204"/>
    </font>
    <font>
      <sz val="9"/>
      <color theme="1"/>
      <name val="Calibri"/>
      <family val="2"/>
      <charset val="204"/>
    </font>
    <font>
      <b/>
      <sz val="10"/>
      <name val="Sylfaen"/>
      <family val="1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sz val="8"/>
      <color theme="1"/>
      <name val="Sylfaen"/>
      <family val="1"/>
      <charset val="204"/>
    </font>
    <font>
      <b/>
      <sz val="8"/>
      <color theme="1"/>
      <name val="Sylfaen"/>
      <family val="1"/>
    </font>
    <font>
      <sz val="10"/>
      <color theme="1"/>
      <name val="Calibri"/>
      <family val="2"/>
      <charset val="204"/>
    </font>
    <font>
      <b/>
      <sz val="9"/>
      <color theme="1"/>
      <name val="Sylfaen"/>
      <family val="1"/>
      <charset val="204"/>
    </font>
    <font>
      <b/>
      <sz val="9"/>
      <color theme="1"/>
      <name val="Cambria"/>
      <family val="1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Sylfaen"/>
      <family val="1"/>
      <charset val="204"/>
    </font>
    <font>
      <b/>
      <sz val="11"/>
      <color theme="1"/>
      <name val="Cambria"/>
      <family val="1"/>
      <charset val="204"/>
    </font>
    <font>
      <sz val="10"/>
      <name val="Arial"/>
      <family val="2"/>
    </font>
    <font>
      <sz val="10"/>
      <color rgb="FFFF0000"/>
      <name val="Sylfaen"/>
      <family val="1"/>
      <charset val="204"/>
    </font>
    <font>
      <b/>
      <sz val="10"/>
      <color rgb="FFFF0000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0" fillId="0" borderId="0"/>
    <xf numFmtId="43" fontId="33" fillId="0" borderId="0" applyFont="0" applyFill="0" applyBorder="0" applyAlignment="0" applyProtection="0"/>
  </cellStyleXfs>
  <cellXfs count="27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 applyProtection="1">
      <alignment horizontal="left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0" fontId="11" fillId="2" borderId="1" xfId="0" applyFont="1" applyFill="1" applyBorder="1"/>
    <xf numFmtId="2" fontId="4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8" fillId="2" borderId="1" xfId="0" applyNumberFormat="1" applyFont="1" applyFill="1" applyBorder="1" applyAlignment="1" applyProtection="1">
      <alignment horizontal="center" vertical="center"/>
      <protection hidden="1"/>
    </xf>
    <xf numFmtId="4" fontId="4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0" fillId="0" borderId="0" xfId="0"/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11" fillId="2" borderId="1" xfId="0" applyFont="1" applyFill="1" applyBorder="1" applyAlignment="1">
      <alignment wrapText="1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/>
    <xf numFmtId="2" fontId="8" fillId="2" borderId="1" xfId="0" applyNumberFormat="1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8" xfId="0" applyBorder="1" applyAlignment="1"/>
    <xf numFmtId="0" fontId="27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wrapText="1"/>
    </xf>
    <xf numFmtId="0" fontId="28" fillId="2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 wrapText="1"/>
    </xf>
    <xf numFmtId="2" fontId="8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5" fontId="0" fillId="0" borderId="0" xfId="2" applyNumberFormat="1" applyFont="1"/>
    <xf numFmtId="0" fontId="11" fillId="2" borderId="7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7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2" borderId="0" xfId="0" applyFont="1" applyFill="1" applyAlignment="1">
      <alignment horizontal="left" vertical="center" wrapText="1"/>
    </xf>
    <xf numFmtId="2" fontId="4" fillId="7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34" fillId="2" borderId="9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0" xfId="0" applyFill="1"/>
    <xf numFmtId="0" fontId="26" fillId="0" borderId="0" xfId="0" applyFont="1"/>
    <xf numFmtId="4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0" fontId="26" fillId="9" borderId="0" xfId="0" applyFont="1" applyFill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27" fillId="9" borderId="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23" fillId="9" borderId="1" xfId="0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2" fontId="4" fillId="9" borderId="1" xfId="0" applyNumberFormat="1" applyFont="1" applyFill="1" applyBorder="1" applyAlignment="1">
      <alignment horizontal="center" wrapText="1"/>
    </xf>
    <xf numFmtId="2" fontId="4" fillId="9" borderId="5" xfId="0" applyNumberFormat="1" applyFont="1" applyFill="1" applyBorder="1" applyAlignment="1">
      <alignment horizontal="center" wrapText="1"/>
    </xf>
    <xf numFmtId="2" fontId="4" fillId="9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3" fontId="17" fillId="2" borderId="1" xfId="2" applyNumberFormat="1" applyFont="1" applyFill="1" applyBorder="1" applyAlignment="1">
      <alignment horizontal="center"/>
    </xf>
    <xf numFmtId="43" fontId="3" fillId="2" borderId="1" xfId="2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2" fontId="17" fillId="2" borderId="0" xfId="0" applyNumberFormat="1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 applyProtection="1">
      <alignment horizontal="center" vertical="center"/>
      <protection hidden="1"/>
    </xf>
    <xf numFmtId="0" fontId="18" fillId="2" borderId="5" xfId="0" applyFont="1" applyFill="1" applyBorder="1" applyAlignment="1" applyProtection="1">
      <alignment horizontal="left" vertical="center" wrapText="1"/>
      <protection hidden="1"/>
    </xf>
    <xf numFmtId="0" fontId="18" fillId="2" borderId="1" xfId="0" applyFont="1" applyFill="1" applyBorder="1" applyAlignment="1" applyProtection="1">
      <alignment horizontal="left" vertical="center" wrapText="1"/>
      <protection hidden="1"/>
    </xf>
    <xf numFmtId="0" fontId="14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left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2" fontId="8" fillId="2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2" fontId="8" fillId="0" borderId="4" xfId="0" applyNumberFormat="1" applyFont="1" applyBorder="1" applyAlignment="1">
      <alignment wrapText="1"/>
    </xf>
    <xf numFmtId="2" fontId="8" fillId="0" borderId="4" xfId="0" applyNumberFormat="1" applyFont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9" fontId="36" fillId="0" borderId="4" xfId="0" applyNumberFormat="1" applyFont="1" applyBorder="1" applyAlignment="1">
      <alignment vertical="center" wrapText="1"/>
    </xf>
    <xf numFmtId="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/>
    <xf numFmtId="2" fontId="8" fillId="0" borderId="4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top"/>
    </xf>
    <xf numFmtId="49" fontId="11" fillId="2" borderId="7" xfId="0" applyNumberFormat="1" applyFont="1" applyFill="1" applyBorder="1" applyAlignment="1">
      <alignment horizontal="center" vertical="top"/>
    </xf>
    <xf numFmtId="49" fontId="11" fillId="2" borderId="5" xfId="0" applyNumberFormat="1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1" fillId="9" borderId="4" xfId="0" applyFont="1" applyFill="1" applyBorder="1" applyAlignment="1">
      <alignment horizontal="center" vertical="top"/>
    </xf>
    <xf numFmtId="0" fontId="11" fillId="9" borderId="7" xfId="0" applyFont="1" applyFill="1" applyBorder="1" applyAlignment="1">
      <alignment horizontal="center" vertical="top"/>
    </xf>
    <xf numFmtId="0" fontId="11" fillId="9" borderId="5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5" fillId="6" borderId="7" xfId="0" applyFont="1" applyFill="1" applyBorder="1" applyAlignment="1">
      <alignment horizontal="center" vertical="top"/>
    </xf>
    <xf numFmtId="0" fontId="5" fillId="6" borderId="5" xfId="0" applyFont="1" applyFill="1" applyBorder="1" applyAlignment="1">
      <alignment horizontal="center" vertical="top"/>
    </xf>
    <xf numFmtId="0" fontId="11" fillId="6" borderId="4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center" vertical="top"/>
    </xf>
    <xf numFmtId="0" fontId="11" fillId="6" borderId="5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 2" xfId="1" xr:uid="{00000000-0005-0000-0000-000001000000}"/>
  </cellStyles>
  <dxfs count="8"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</dxfs>
  <tableStyles count="0" defaultTableStyle="TableStyleMedium9" defaultPivotStyle="PivotStyleLight16"/>
  <colors>
    <mruColors>
      <color rgb="FFCCCC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CCFF"/>
  </sheetPr>
  <dimension ref="A2:B87"/>
  <sheetViews>
    <sheetView tabSelected="1" topLeftCell="A3" workbookViewId="0">
      <selection activeCell="A14" sqref="A14"/>
    </sheetView>
  </sheetViews>
  <sheetFormatPr defaultColWidth="9.08984375" defaultRowHeight="14.5" x14ac:dyDescent="0.35"/>
  <cols>
    <col min="1" max="1" width="111.90625" style="1" customWidth="1"/>
    <col min="2" max="2" width="12.6328125" style="1" customWidth="1"/>
    <col min="3" max="16384" width="9.08984375" style="1"/>
  </cols>
  <sheetData>
    <row r="2" spans="1:2" ht="15" customHeight="1" x14ac:dyDescent="0.35">
      <c r="A2" s="1" t="s">
        <v>310</v>
      </c>
    </row>
    <row r="3" spans="1:2" ht="20.25" customHeight="1" x14ac:dyDescent="0.35">
      <c r="A3" s="1" t="s">
        <v>311</v>
      </c>
    </row>
    <row r="4" spans="1:2" ht="21" customHeight="1" x14ac:dyDescent="0.35">
      <c r="A4" s="30" t="s">
        <v>47</v>
      </c>
    </row>
    <row r="5" spans="1:2" ht="21" customHeight="1" x14ac:dyDescent="0.35">
      <c r="A5" s="30" t="s">
        <v>94</v>
      </c>
    </row>
    <row r="6" spans="1:2" ht="50.25" customHeight="1" x14ac:dyDescent="0.35">
      <c r="A6" s="31" t="s">
        <v>308</v>
      </c>
      <c r="B6" s="229"/>
    </row>
    <row r="7" spans="1:2" ht="15" customHeight="1" x14ac:dyDescent="0.35">
      <c r="A7" s="7"/>
      <c r="B7" s="229"/>
    </row>
    <row r="8" spans="1:2" ht="15" customHeight="1" x14ac:dyDescent="0.35">
      <c r="A8" s="7"/>
      <c r="B8" s="229"/>
    </row>
    <row r="9" spans="1:2" x14ac:dyDescent="0.35">
      <c r="A9" s="7" t="s">
        <v>26</v>
      </c>
    </row>
    <row r="10" spans="1:2" ht="30" customHeight="1" x14ac:dyDescent="0.4">
      <c r="A10" s="82" t="e">
        <f>კრებსითი!D9</f>
        <v>#VALUE!</v>
      </c>
      <c r="B10" s="23"/>
    </row>
    <row r="11" spans="1:2" x14ac:dyDescent="0.35">
      <c r="A11" s="7"/>
    </row>
    <row r="12" spans="1:2" x14ac:dyDescent="0.35">
      <c r="A12" s="7"/>
    </row>
    <row r="13" spans="1:2" x14ac:dyDescent="0.35">
      <c r="A13" s="7" t="s">
        <v>312</v>
      </c>
    </row>
    <row r="14" spans="1:2" x14ac:dyDescent="0.35">
      <c r="A14" s="7"/>
    </row>
    <row r="15" spans="1:2" x14ac:dyDescent="0.35">
      <c r="A15" s="7"/>
    </row>
    <row r="16" spans="1:2" x14ac:dyDescent="0.35">
      <c r="A16" s="7"/>
    </row>
    <row r="17" spans="1:2" x14ac:dyDescent="0.35">
      <c r="A17" s="7"/>
    </row>
    <row r="18" spans="1:2" x14ac:dyDescent="0.35">
      <c r="A18" s="7"/>
    </row>
    <row r="19" spans="1:2" x14ac:dyDescent="0.35">
      <c r="A19" s="7"/>
    </row>
    <row r="20" spans="1:2" x14ac:dyDescent="0.35">
      <c r="A20" s="7"/>
    </row>
    <row r="26" spans="1:2" ht="15" customHeight="1" x14ac:dyDescent="0.35">
      <c r="A26" s="2"/>
      <c r="B26" s="2"/>
    </row>
    <row r="27" spans="1:2" ht="15" customHeight="1" x14ac:dyDescent="0.35">
      <c r="A27" s="2"/>
      <c r="B27" s="2"/>
    </row>
    <row r="28" spans="1:2" x14ac:dyDescent="0.35">
      <c r="A28" s="2"/>
      <c r="B28" s="2"/>
    </row>
    <row r="29" spans="1:2" x14ac:dyDescent="0.35">
      <c r="A29" s="2"/>
      <c r="B29" s="2"/>
    </row>
    <row r="30" spans="1:2" x14ac:dyDescent="0.35">
      <c r="A30" s="2"/>
      <c r="B30" s="2"/>
    </row>
    <row r="31" spans="1:2" x14ac:dyDescent="0.35">
      <c r="A31" s="2"/>
      <c r="B31" s="2"/>
    </row>
    <row r="32" spans="1:2" x14ac:dyDescent="0.35">
      <c r="A32" s="2"/>
      <c r="B32" s="2"/>
    </row>
    <row r="33" spans="1:2" x14ac:dyDescent="0.35">
      <c r="A33" s="2"/>
      <c r="B33" s="2"/>
    </row>
    <row r="34" spans="1:2" x14ac:dyDescent="0.35">
      <c r="A34" s="2"/>
      <c r="B34" s="2"/>
    </row>
    <row r="35" spans="1:2" ht="18" customHeight="1" x14ac:dyDescent="0.35">
      <c r="A35" s="2"/>
      <c r="B35" s="2"/>
    </row>
    <row r="36" spans="1:2" ht="15" customHeight="1" x14ac:dyDescent="0.35">
      <c r="A36" s="2"/>
      <c r="B36" s="2"/>
    </row>
    <row r="37" spans="1:2" ht="18" customHeight="1" x14ac:dyDescent="0.35">
      <c r="A37" s="2"/>
      <c r="B37" s="2"/>
    </row>
    <row r="38" spans="1:2" ht="18" customHeight="1" x14ac:dyDescent="0.35">
      <c r="A38" s="2"/>
      <c r="B38" s="2"/>
    </row>
    <row r="39" spans="1:2" ht="18" customHeight="1" x14ac:dyDescent="0.35">
      <c r="A39" s="2"/>
      <c r="B39" s="2"/>
    </row>
    <row r="40" spans="1:2" ht="18" customHeight="1" x14ac:dyDescent="0.35">
      <c r="A40" s="2"/>
      <c r="B40" s="2"/>
    </row>
    <row r="41" spans="1:2" ht="18" customHeight="1" x14ac:dyDescent="0.35">
      <c r="A41" s="2"/>
      <c r="B41" s="2"/>
    </row>
    <row r="42" spans="1:2" x14ac:dyDescent="0.35">
      <c r="A42" s="2"/>
      <c r="B42" s="2"/>
    </row>
    <row r="43" spans="1:2" x14ac:dyDescent="0.35">
      <c r="A43" s="2"/>
      <c r="B43" s="2"/>
    </row>
    <row r="44" spans="1:2" x14ac:dyDescent="0.35">
      <c r="A44" s="2"/>
      <c r="B44" s="2"/>
    </row>
    <row r="45" spans="1:2" x14ac:dyDescent="0.35">
      <c r="A45" s="2"/>
      <c r="B45" s="2"/>
    </row>
    <row r="46" spans="1:2" x14ac:dyDescent="0.35">
      <c r="A46" s="2"/>
      <c r="B46" s="2"/>
    </row>
    <row r="47" spans="1:2" x14ac:dyDescent="0.35">
      <c r="A47" s="2"/>
      <c r="B47" s="2"/>
    </row>
    <row r="48" spans="1:2" x14ac:dyDescent="0.35">
      <c r="A48" s="2"/>
      <c r="B48" s="2"/>
    </row>
    <row r="49" spans="1:2" x14ac:dyDescent="0.35">
      <c r="A49" s="2"/>
      <c r="B49" s="2"/>
    </row>
    <row r="56" spans="1:2" x14ac:dyDescent="0.35">
      <c r="A56" s="5"/>
      <c r="B56" s="5"/>
    </row>
    <row r="57" spans="1:2" x14ac:dyDescent="0.35">
      <c r="A57" s="5"/>
      <c r="B57" s="5"/>
    </row>
    <row r="58" spans="1:2" x14ac:dyDescent="0.35">
      <c r="A58" s="5"/>
      <c r="B58" s="5"/>
    </row>
    <row r="59" spans="1:2" x14ac:dyDescent="0.35">
      <c r="A59" s="5"/>
      <c r="B59" s="5"/>
    </row>
    <row r="60" spans="1:2" x14ac:dyDescent="0.35">
      <c r="A60" s="5"/>
      <c r="B60" s="5"/>
    </row>
    <row r="61" spans="1:2" x14ac:dyDescent="0.35">
      <c r="A61" s="5"/>
      <c r="B61" s="5"/>
    </row>
    <row r="62" spans="1:2" x14ac:dyDescent="0.35">
      <c r="A62" s="5"/>
      <c r="B62" s="5"/>
    </row>
    <row r="63" spans="1:2" x14ac:dyDescent="0.35">
      <c r="A63" s="5"/>
      <c r="B63" s="5"/>
    </row>
    <row r="64" spans="1:2" x14ac:dyDescent="0.35">
      <c r="A64" s="5"/>
      <c r="B64" s="5"/>
    </row>
    <row r="65" spans="1:2" ht="15.75" customHeight="1" x14ac:dyDescent="0.35">
      <c r="A65" s="5"/>
      <c r="B65" s="5"/>
    </row>
    <row r="66" spans="1:2" s="4" customFormat="1" x14ac:dyDescent="0.35">
      <c r="A66" s="5"/>
      <c r="B66" s="5"/>
    </row>
    <row r="67" spans="1:2" x14ac:dyDescent="0.35">
      <c r="A67" s="5"/>
      <c r="B67" s="5"/>
    </row>
    <row r="68" spans="1:2" x14ac:dyDescent="0.35">
      <c r="A68" s="5"/>
      <c r="B68" s="5"/>
    </row>
    <row r="69" spans="1:2" x14ac:dyDescent="0.35">
      <c r="A69" s="5"/>
      <c r="B69" s="5"/>
    </row>
    <row r="70" spans="1:2" x14ac:dyDescent="0.35">
      <c r="A70" s="5"/>
      <c r="B70" s="5"/>
    </row>
    <row r="71" spans="1:2" x14ac:dyDescent="0.35">
      <c r="A71" s="5"/>
      <c r="B71" s="5"/>
    </row>
    <row r="72" spans="1:2" x14ac:dyDescent="0.35">
      <c r="A72" s="5"/>
      <c r="B72" s="5"/>
    </row>
    <row r="73" spans="1:2" x14ac:dyDescent="0.35">
      <c r="A73" s="5"/>
      <c r="B73" s="5"/>
    </row>
    <row r="74" spans="1:2" x14ac:dyDescent="0.35">
      <c r="A74" s="5"/>
      <c r="B74" s="5"/>
    </row>
    <row r="75" spans="1:2" x14ac:dyDescent="0.35">
      <c r="A75" s="5"/>
      <c r="B75" s="5"/>
    </row>
    <row r="76" spans="1:2" x14ac:dyDescent="0.35">
      <c r="A76" s="5"/>
      <c r="B76" s="5"/>
    </row>
    <row r="77" spans="1:2" x14ac:dyDescent="0.35">
      <c r="A77" s="5"/>
      <c r="B77" s="5"/>
    </row>
    <row r="78" spans="1:2" x14ac:dyDescent="0.35">
      <c r="A78" s="5"/>
      <c r="B78" s="5"/>
    </row>
    <row r="79" spans="1:2" x14ac:dyDescent="0.35">
      <c r="A79" s="5"/>
      <c r="B79" s="5"/>
    </row>
    <row r="80" spans="1:2" x14ac:dyDescent="0.35">
      <c r="A80" s="5"/>
      <c r="B80" s="5"/>
    </row>
    <row r="81" spans="1:2" x14ac:dyDescent="0.35">
      <c r="A81" s="5"/>
      <c r="B81" s="5"/>
    </row>
    <row r="82" spans="1:2" x14ac:dyDescent="0.35">
      <c r="A82" s="5"/>
      <c r="B82" s="5"/>
    </row>
    <row r="83" spans="1:2" x14ac:dyDescent="0.35">
      <c r="A83" s="5"/>
      <c r="B83" s="5"/>
    </row>
    <row r="84" spans="1:2" x14ac:dyDescent="0.35">
      <c r="A84" s="5"/>
      <c r="B84" s="5"/>
    </row>
    <row r="85" spans="1:2" x14ac:dyDescent="0.35">
      <c r="A85" s="5"/>
      <c r="B85" s="5"/>
    </row>
    <row r="86" spans="1:2" x14ac:dyDescent="0.35">
      <c r="A86" s="5"/>
      <c r="B86" s="5"/>
    </row>
    <row r="87" spans="1:2" x14ac:dyDescent="0.35">
      <c r="A87" s="5"/>
      <c r="B87" s="5"/>
    </row>
  </sheetData>
  <mergeCells count="1">
    <mergeCell ref="B6:B8"/>
  </mergeCells>
  <pageMargins left="0.2" right="0.2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G15"/>
  <sheetViews>
    <sheetView workbookViewId="0">
      <selection activeCell="B23" sqref="B23"/>
    </sheetView>
  </sheetViews>
  <sheetFormatPr defaultRowHeight="14.5" x14ac:dyDescent="0.35"/>
  <cols>
    <col min="1" max="1" width="3.90625" customWidth="1"/>
    <col min="2" max="2" width="36.6328125" bestFit="1" customWidth="1"/>
    <col min="3" max="3" width="19.08984375" bestFit="1" customWidth="1"/>
    <col min="4" max="4" width="22.36328125" bestFit="1" customWidth="1"/>
    <col min="5" max="5" width="92.36328125" bestFit="1" customWidth="1"/>
    <col min="6" max="6" width="46.453125" customWidth="1"/>
  </cols>
  <sheetData>
    <row r="1" spans="1:7" x14ac:dyDescent="0.35">
      <c r="A1" s="1"/>
      <c r="B1" s="1"/>
      <c r="C1" s="1"/>
      <c r="D1" s="1"/>
      <c r="E1" s="1"/>
      <c r="F1" s="1"/>
    </row>
    <row r="2" spans="1:7" x14ac:dyDescent="0.35">
      <c r="A2" s="7"/>
      <c r="B2" s="231" t="s">
        <v>97</v>
      </c>
      <c r="C2" s="231"/>
      <c r="D2" s="231"/>
      <c r="E2" s="231"/>
      <c r="F2" s="231"/>
      <c r="G2" s="231"/>
    </row>
    <row r="3" spans="1:7" ht="32.25" customHeight="1" x14ac:dyDescent="0.35">
      <c r="A3" s="230" t="s">
        <v>116</v>
      </c>
      <c r="B3" s="230"/>
      <c r="C3" s="230"/>
      <c r="D3" s="230"/>
      <c r="E3" s="1"/>
      <c r="F3" s="1"/>
    </row>
    <row r="4" spans="1:7" ht="54.75" customHeight="1" x14ac:dyDescent="0.35">
      <c r="A4" s="173" t="s">
        <v>33</v>
      </c>
      <c r="B4" s="173" t="s">
        <v>3</v>
      </c>
      <c r="C4" s="174" t="s">
        <v>2</v>
      </c>
      <c r="D4" s="174" t="s">
        <v>1</v>
      </c>
      <c r="E4" s="1"/>
      <c r="F4" s="1"/>
    </row>
    <row r="5" spans="1:7" x14ac:dyDescent="0.35">
      <c r="A5" s="37">
        <v>1</v>
      </c>
      <c r="B5" s="37">
        <v>2</v>
      </c>
      <c r="C5" s="37">
        <v>3</v>
      </c>
      <c r="D5" s="37">
        <v>4</v>
      </c>
      <c r="E5" s="1"/>
      <c r="F5" s="1"/>
    </row>
    <row r="6" spans="1:7" ht="21.75" customHeight="1" x14ac:dyDescent="0.35">
      <c r="A6" s="6">
        <v>1</v>
      </c>
      <c r="B6" s="6" t="s">
        <v>0</v>
      </c>
      <c r="C6" s="38" t="s">
        <v>95</v>
      </c>
      <c r="D6" s="175" t="e">
        <f>'II სართული'!I5</f>
        <v>#VALUE!</v>
      </c>
      <c r="E6" s="1" t="s">
        <v>196</v>
      </c>
      <c r="F6" s="1"/>
    </row>
    <row r="7" spans="1:7" ht="21.75" customHeight="1" x14ac:dyDescent="0.35">
      <c r="A7" s="6">
        <v>2</v>
      </c>
      <c r="B7" s="6" t="s">
        <v>4</v>
      </c>
      <c r="C7" s="38" t="s">
        <v>96</v>
      </c>
      <c r="D7" s="175" t="e">
        <f>'III სართული'!I5</f>
        <v>#VALUE!</v>
      </c>
      <c r="E7" s="1" t="s">
        <v>197</v>
      </c>
      <c r="F7" s="1"/>
    </row>
    <row r="8" spans="1:7" s="83" customFormat="1" ht="21.75" customHeight="1" x14ac:dyDescent="0.35">
      <c r="A8" s="6">
        <v>3</v>
      </c>
      <c r="B8" s="6" t="s">
        <v>215</v>
      </c>
      <c r="C8" s="38" t="s">
        <v>216</v>
      </c>
      <c r="D8" s="175" t="e">
        <f>'ნარჩენების ოთახი, საწყობი'!K136</f>
        <v>#VALUE!</v>
      </c>
      <c r="E8" s="1" t="s">
        <v>307</v>
      </c>
      <c r="F8" s="1"/>
    </row>
    <row r="9" spans="1:7" ht="30.75" customHeight="1" x14ac:dyDescent="0.45">
      <c r="A9" s="3"/>
      <c r="B9" s="3"/>
      <c r="C9" s="119" t="s">
        <v>24</v>
      </c>
      <c r="D9" s="176" t="e">
        <f>SUM(D5:D8)</f>
        <v>#VALUE!</v>
      </c>
      <c r="E9" s="1"/>
      <c r="F9" s="1"/>
    </row>
    <row r="11" spans="1:7" x14ac:dyDescent="0.35">
      <c r="D11" s="83"/>
    </row>
    <row r="12" spans="1:7" x14ac:dyDescent="0.35">
      <c r="D12" s="83"/>
      <c r="E12" s="83"/>
    </row>
    <row r="13" spans="1:7" x14ac:dyDescent="0.35">
      <c r="D13" s="83"/>
      <c r="E13" s="83"/>
    </row>
    <row r="14" spans="1:7" x14ac:dyDescent="0.35">
      <c r="D14" s="83"/>
      <c r="E14" s="83"/>
    </row>
    <row r="15" spans="1:7" x14ac:dyDescent="0.35">
      <c r="D15" s="83"/>
      <c r="E15" s="83"/>
    </row>
  </sheetData>
  <mergeCells count="2">
    <mergeCell ref="A3:D3"/>
    <mergeCell ref="B2:G2"/>
  </mergeCells>
  <pageMargins left="0.2" right="0.2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89E85-B678-4E8C-A76E-BA261C87A5FB}">
  <dimension ref="A1:N140"/>
  <sheetViews>
    <sheetView zoomScale="70" zoomScaleNormal="70" workbookViewId="0">
      <pane ySplit="10" topLeftCell="A132" activePane="bottomLeft" state="frozen"/>
      <selection activeCell="J144" sqref="J144"/>
      <selection pane="bottomLeft" activeCell="G11" sqref="G11"/>
    </sheetView>
  </sheetViews>
  <sheetFormatPr defaultColWidth="8.90625" defaultRowHeight="14.5" x14ac:dyDescent="0.35"/>
  <cols>
    <col min="1" max="1" width="4.36328125" style="83" customWidth="1"/>
    <col min="2" max="2" width="65.54296875" style="83" customWidth="1"/>
    <col min="3" max="3" width="8.90625" style="83"/>
    <col min="4" max="4" width="10.453125" style="83" customWidth="1"/>
    <col min="5" max="5" width="8.90625" style="83"/>
    <col min="6" max="6" width="12" style="83" customWidth="1"/>
    <col min="7" max="7" width="8.90625" style="83"/>
    <col min="8" max="8" width="11.6328125" style="83" customWidth="1"/>
    <col min="9" max="9" width="8.90625" style="83"/>
    <col min="10" max="10" width="10.6328125" style="83" customWidth="1"/>
    <col min="11" max="11" width="13.453125" style="83" customWidth="1"/>
    <col min="12" max="12" width="41.6328125" style="83" customWidth="1"/>
    <col min="13" max="13" width="14.36328125" style="83" customWidth="1"/>
    <col min="14" max="16384" width="8.90625" style="83"/>
  </cols>
  <sheetData>
    <row r="1" spans="1:13" ht="23.25" customHeight="1" x14ac:dyDescent="0.4">
      <c r="A1" s="7"/>
      <c r="B1" s="231" t="s">
        <v>97</v>
      </c>
      <c r="C1" s="231"/>
      <c r="D1" s="231"/>
      <c r="E1" s="231"/>
      <c r="F1" s="231"/>
      <c r="G1" s="231"/>
      <c r="H1" s="231"/>
      <c r="I1" s="231"/>
      <c r="J1" s="232" t="s">
        <v>70</v>
      </c>
      <c r="K1" s="233"/>
    </row>
    <row r="2" spans="1:13" ht="16" x14ac:dyDescent="0.35">
      <c r="A2" s="21"/>
      <c r="B2" s="234" t="s">
        <v>115</v>
      </c>
      <c r="C2" s="234"/>
      <c r="D2" s="234"/>
      <c r="E2" s="234"/>
      <c r="F2" s="234"/>
      <c r="G2" s="234"/>
      <c r="H2" s="234"/>
      <c r="I2" s="234"/>
      <c r="J2" s="234"/>
      <c r="K2" s="234"/>
    </row>
    <row r="3" spans="1:13" ht="16" x14ac:dyDescent="0.35">
      <c r="A3" s="21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130"/>
      <c r="M3" s="130"/>
    </row>
    <row r="4" spans="1:13" ht="16" x14ac:dyDescent="0.4">
      <c r="A4" s="235" t="s">
        <v>98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130"/>
      <c r="M4" s="130"/>
    </row>
    <row r="5" spans="1:13" ht="16" x14ac:dyDescent="0.35">
      <c r="A5" s="16"/>
      <c r="B5" s="34" t="s">
        <v>192</v>
      </c>
      <c r="C5" s="17"/>
      <c r="D5" s="17"/>
      <c r="E5" s="236" t="s">
        <v>29</v>
      </c>
      <c r="F5" s="236"/>
      <c r="G5" s="236"/>
      <c r="H5" s="236"/>
      <c r="I5" s="237" t="e">
        <f>K140</f>
        <v>#VALUE!</v>
      </c>
      <c r="J5" s="238"/>
      <c r="K5" s="22" t="s">
        <v>18</v>
      </c>
    </row>
    <row r="6" spans="1:13" ht="27.75" customHeight="1" x14ac:dyDescent="0.35">
      <c r="A6" s="241" t="s">
        <v>33</v>
      </c>
      <c r="B6" s="241" t="s">
        <v>5</v>
      </c>
      <c r="C6" s="241" t="s">
        <v>6</v>
      </c>
      <c r="D6" s="248" t="s">
        <v>7</v>
      </c>
      <c r="E6" s="243" t="s">
        <v>8</v>
      </c>
      <c r="F6" s="244"/>
      <c r="G6" s="243" t="s">
        <v>9</v>
      </c>
      <c r="H6" s="244"/>
      <c r="I6" s="239" t="s">
        <v>10</v>
      </c>
      <c r="J6" s="240"/>
      <c r="K6" s="241" t="s">
        <v>11</v>
      </c>
    </row>
    <row r="7" spans="1:13" x14ac:dyDescent="0.35">
      <c r="A7" s="242"/>
      <c r="B7" s="242"/>
      <c r="C7" s="242"/>
      <c r="D7" s="249"/>
      <c r="E7" s="48" t="s">
        <v>12</v>
      </c>
      <c r="F7" s="25" t="s">
        <v>11</v>
      </c>
      <c r="G7" s="48" t="s">
        <v>12</v>
      </c>
      <c r="H7" s="25" t="s">
        <v>11</v>
      </c>
      <c r="I7" s="48" t="s">
        <v>12</v>
      </c>
      <c r="J7" s="25" t="s">
        <v>11</v>
      </c>
      <c r="K7" s="242"/>
    </row>
    <row r="8" spans="1:13" x14ac:dyDescent="0.35">
      <c r="A8" s="46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7">
        <v>10</v>
      </c>
      <c r="K8" s="47">
        <v>11</v>
      </c>
    </row>
    <row r="9" spans="1:13" x14ac:dyDescent="0.35">
      <c r="A9" s="69"/>
      <c r="B9" s="70" t="s">
        <v>27</v>
      </c>
      <c r="C9" s="71"/>
      <c r="D9" s="71"/>
      <c r="E9" s="71"/>
      <c r="F9" s="71"/>
      <c r="G9" s="71"/>
      <c r="H9" s="71"/>
      <c r="I9" s="71"/>
      <c r="J9" s="71"/>
      <c r="K9" s="71"/>
    </row>
    <row r="10" spans="1:13" x14ac:dyDescent="0.35">
      <c r="A10" s="69"/>
      <c r="B10" s="70"/>
      <c r="C10" s="71"/>
      <c r="D10" s="71"/>
      <c r="E10" s="71"/>
      <c r="F10" s="71"/>
      <c r="G10" s="71"/>
      <c r="H10" s="71"/>
      <c r="I10" s="71"/>
      <c r="J10" s="71"/>
      <c r="K10" s="71"/>
    </row>
    <row r="11" spans="1:13" ht="27" x14ac:dyDescent="0.35">
      <c r="A11" s="56">
        <v>1</v>
      </c>
      <c r="B11" s="87" t="s">
        <v>204</v>
      </c>
      <c r="C11" s="24" t="s">
        <v>44</v>
      </c>
      <c r="D11" s="106">
        <v>350</v>
      </c>
      <c r="E11" s="84"/>
      <c r="F11" s="84"/>
      <c r="G11" s="84"/>
      <c r="H11" s="84">
        <f>G11*D11</f>
        <v>0</v>
      </c>
      <c r="I11" s="84"/>
      <c r="J11" s="84">
        <f>I11*D11</f>
        <v>0</v>
      </c>
      <c r="K11" s="84">
        <f>J11+H11+F11</f>
        <v>0</v>
      </c>
      <c r="L11" s="114"/>
    </row>
    <row r="12" spans="1:13" ht="27" x14ac:dyDescent="0.35">
      <c r="A12" s="56">
        <v>2</v>
      </c>
      <c r="B12" s="87" t="s">
        <v>142</v>
      </c>
      <c r="C12" s="24" t="s">
        <v>44</v>
      </c>
      <c r="D12" s="84">
        <v>104</v>
      </c>
      <c r="E12" s="84"/>
      <c r="F12" s="84"/>
      <c r="G12" s="84"/>
      <c r="H12" s="84">
        <f t="shared" ref="H12:H30" si="0">G12*D12</f>
        <v>0</v>
      </c>
      <c r="I12" s="84"/>
      <c r="J12" s="84">
        <f t="shared" ref="J12:J30" si="1">I12*D12</f>
        <v>0</v>
      </c>
      <c r="K12" s="84">
        <f t="shared" ref="K12:K30" si="2">J12+H12+F12</f>
        <v>0</v>
      </c>
      <c r="L12" s="115"/>
    </row>
    <row r="13" spans="1:13" s="154" customFormat="1" ht="27" x14ac:dyDescent="0.35">
      <c r="A13" s="149">
        <v>3</v>
      </c>
      <c r="B13" s="150" t="s">
        <v>160</v>
      </c>
      <c r="C13" s="151" t="s">
        <v>44</v>
      </c>
      <c r="D13" s="152">
        <v>104</v>
      </c>
      <c r="E13" s="152"/>
      <c r="F13" s="152"/>
      <c r="G13" s="152"/>
      <c r="H13" s="152">
        <f t="shared" si="0"/>
        <v>0</v>
      </c>
      <c r="I13" s="152"/>
      <c r="J13" s="152">
        <f t="shared" si="1"/>
        <v>0</v>
      </c>
      <c r="K13" s="152">
        <f t="shared" si="2"/>
        <v>0</v>
      </c>
    </row>
    <row r="14" spans="1:13" ht="27" x14ac:dyDescent="0.35">
      <c r="A14" s="56">
        <v>4</v>
      </c>
      <c r="B14" s="87" t="s">
        <v>190</v>
      </c>
      <c r="C14" s="24" t="s">
        <v>44</v>
      </c>
      <c r="D14" s="106">
        <v>34.15</v>
      </c>
      <c r="E14" s="84"/>
      <c r="F14" s="84"/>
      <c r="G14" s="84"/>
      <c r="H14" s="84">
        <f t="shared" si="0"/>
        <v>0</v>
      </c>
      <c r="I14" s="84"/>
      <c r="J14" s="84">
        <f t="shared" si="1"/>
        <v>0</v>
      </c>
      <c r="K14" s="84">
        <f t="shared" si="2"/>
        <v>0</v>
      </c>
      <c r="L14" s="114"/>
    </row>
    <row r="15" spans="1:13" ht="40.5" x14ac:dyDescent="0.35">
      <c r="A15" s="113">
        <v>7</v>
      </c>
      <c r="B15" s="120" t="s">
        <v>170</v>
      </c>
      <c r="C15" s="121" t="s">
        <v>44</v>
      </c>
      <c r="D15" s="122">
        <v>670</v>
      </c>
      <c r="E15" s="122"/>
      <c r="F15" s="122"/>
      <c r="G15" s="122"/>
      <c r="H15" s="122">
        <f t="shared" si="0"/>
        <v>0</v>
      </c>
      <c r="I15" s="122"/>
      <c r="J15" s="122">
        <f t="shared" si="1"/>
        <v>0</v>
      </c>
      <c r="K15" s="122">
        <f t="shared" si="2"/>
        <v>0</v>
      </c>
      <c r="L15" s="114"/>
    </row>
    <row r="16" spans="1:13" ht="27" x14ac:dyDescent="0.35">
      <c r="A16" s="56">
        <v>8</v>
      </c>
      <c r="B16" s="87" t="s">
        <v>165</v>
      </c>
      <c r="C16" s="24" t="s">
        <v>44</v>
      </c>
      <c r="D16" s="84">
        <f>'III სართული'!D19</f>
        <v>155</v>
      </c>
      <c r="E16" s="84"/>
      <c r="F16" s="84"/>
      <c r="G16" s="84"/>
      <c r="H16" s="84">
        <f t="shared" si="0"/>
        <v>0</v>
      </c>
      <c r="I16" s="84"/>
      <c r="J16" s="84">
        <f t="shared" si="1"/>
        <v>0</v>
      </c>
      <c r="K16" s="84">
        <f t="shared" si="2"/>
        <v>0</v>
      </c>
      <c r="L16" s="114"/>
    </row>
    <row r="17" spans="1:14" ht="45" customHeight="1" x14ac:dyDescent="0.35">
      <c r="A17" s="56">
        <v>10</v>
      </c>
      <c r="B17" s="88" t="s">
        <v>112</v>
      </c>
      <c r="C17" s="24" t="s">
        <v>65</v>
      </c>
      <c r="D17" s="84">
        <v>630</v>
      </c>
      <c r="E17" s="84"/>
      <c r="F17" s="84"/>
      <c r="G17" s="84"/>
      <c r="H17" s="84">
        <f t="shared" si="0"/>
        <v>0</v>
      </c>
      <c r="I17" s="84"/>
      <c r="J17" s="84">
        <f t="shared" si="1"/>
        <v>0</v>
      </c>
      <c r="K17" s="84">
        <f t="shared" si="2"/>
        <v>0</v>
      </c>
      <c r="L17" s="115"/>
    </row>
    <row r="18" spans="1:14" ht="15" customHeight="1" x14ac:dyDescent="0.35">
      <c r="A18" s="56">
        <v>11</v>
      </c>
      <c r="B18" s="87" t="s">
        <v>100</v>
      </c>
      <c r="C18" s="24" t="s">
        <v>35</v>
      </c>
      <c r="D18" s="84">
        <v>54</v>
      </c>
      <c r="E18" s="84"/>
      <c r="F18" s="84"/>
      <c r="G18" s="84"/>
      <c r="H18" s="84">
        <f t="shared" si="0"/>
        <v>0</v>
      </c>
      <c r="I18" s="84"/>
      <c r="J18" s="84">
        <f t="shared" si="1"/>
        <v>0</v>
      </c>
      <c r="K18" s="84">
        <f t="shared" si="2"/>
        <v>0</v>
      </c>
      <c r="L18" s="115"/>
    </row>
    <row r="19" spans="1:14" x14ac:dyDescent="0.35">
      <c r="A19" s="56">
        <v>13</v>
      </c>
      <c r="B19" s="87" t="s">
        <v>101</v>
      </c>
      <c r="C19" s="24" t="s">
        <v>102</v>
      </c>
      <c r="D19" s="84">
        <v>460</v>
      </c>
      <c r="E19" s="84"/>
      <c r="F19" s="84"/>
      <c r="G19" s="84"/>
      <c r="H19" s="84">
        <f t="shared" si="0"/>
        <v>0</v>
      </c>
      <c r="I19" s="84"/>
      <c r="J19" s="84">
        <f t="shared" si="1"/>
        <v>0</v>
      </c>
      <c r="K19" s="84">
        <f t="shared" si="2"/>
        <v>0</v>
      </c>
      <c r="L19" s="115"/>
    </row>
    <row r="20" spans="1:14" s="154" customFormat="1" x14ac:dyDescent="0.35">
      <c r="A20" s="149">
        <v>14</v>
      </c>
      <c r="B20" s="150" t="s">
        <v>103</v>
      </c>
      <c r="C20" s="151" t="s">
        <v>104</v>
      </c>
      <c r="D20" s="152">
        <v>51</v>
      </c>
      <c r="E20" s="152"/>
      <c r="F20" s="152"/>
      <c r="G20" s="152"/>
      <c r="H20" s="152">
        <f t="shared" si="0"/>
        <v>0</v>
      </c>
      <c r="I20" s="152"/>
      <c r="J20" s="152">
        <f t="shared" si="1"/>
        <v>0</v>
      </c>
      <c r="K20" s="152">
        <f t="shared" si="2"/>
        <v>0</v>
      </c>
    </row>
    <row r="21" spans="1:14" s="154" customFormat="1" ht="27" x14ac:dyDescent="0.35">
      <c r="A21" s="149">
        <v>16</v>
      </c>
      <c r="B21" s="150" t="s">
        <v>105</v>
      </c>
      <c r="C21" s="151" t="s">
        <v>104</v>
      </c>
      <c r="D21" s="152">
        <v>62</v>
      </c>
      <c r="E21" s="152"/>
      <c r="F21" s="152"/>
      <c r="G21" s="152"/>
      <c r="H21" s="152">
        <f t="shared" si="0"/>
        <v>0</v>
      </c>
      <c r="I21" s="152"/>
      <c r="J21" s="152">
        <f t="shared" si="1"/>
        <v>0</v>
      </c>
      <c r="K21" s="152">
        <f t="shared" si="2"/>
        <v>0</v>
      </c>
    </row>
    <row r="22" spans="1:14" ht="27" x14ac:dyDescent="0.35">
      <c r="A22" s="56">
        <v>17</v>
      </c>
      <c r="B22" s="87" t="s">
        <v>144</v>
      </c>
      <c r="C22" s="24" t="s">
        <v>104</v>
      </c>
      <c r="D22" s="84">
        <v>8</v>
      </c>
      <c r="E22" s="84"/>
      <c r="F22" s="84"/>
      <c r="G22" s="84"/>
      <c r="H22" s="84">
        <f t="shared" si="0"/>
        <v>0</v>
      </c>
      <c r="I22" s="84"/>
      <c r="J22" s="84">
        <f t="shared" si="1"/>
        <v>0</v>
      </c>
      <c r="K22" s="84">
        <f t="shared" si="2"/>
        <v>0</v>
      </c>
      <c r="L22" s="115"/>
    </row>
    <row r="23" spans="1:14" x14ac:dyDescent="0.35">
      <c r="A23" s="56">
        <v>19</v>
      </c>
      <c r="B23" s="87" t="s">
        <v>113</v>
      </c>
      <c r="C23" s="24" t="s">
        <v>35</v>
      </c>
      <c r="D23" s="106">
        <v>108</v>
      </c>
      <c r="E23" s="84"/>
      <c r="F23" s="84"/>
      <c r="G23" s="84"/>
      <c r="H23" s="84">
        <f t="shared" si="0"/>
        <v>0</v>
      </c>
      <c r="I23" s="84"/>
      <c r="J23" s="84">
        <f t="shared" si="1"/>
        <v>0</v>
      </c>
      <c r="K23" s="84">
        <f t="shared" si="2"/>
        <v>0</v>
      </c>
      <c r="L23" s="114"/>
    </row>
    <row r="24" spans="1:14" ht="27" x14ac:dyDescent="0.35">
      <c r="A24" s="56">
        <v>21</v>
      </c>
      <c r="B24" s="87" t="s">
        <v>107</v>
      </c>
      <c r="C24" s="24" t="s">
        <v>44</v>
      </c>
      <c r="D24" s="84">
        <v>70</v>
      </c>
      <c r="E24" s="84"/>
      <c r="F24" s="84"/>
      <c r="G24" s="84"/>
      <c r="H24" s="84">
        <f t="shared" si="0"/>
        <v>0</v>
      </c>
      <c r="I24" s="84"/>
      <c r="J24" s="84">
        <f t="shared" si="1"/>
        <v>0</v>
      </c>
      <c r="K24" s="84">
        <f t="shared" si="2"/>
        <v>0</v>
      </c>
      <c r="L24" s="115"/>
      <c r="M24" s="84">
        <v>682</v>
      </c>
      <c r="N24" s="147">
        <v>0.1</v>
      </c>
    </row>
    <row r="25" spans="1:14" x14ac:dyDescent="0.35">
      <c r="A25" s="56">
        <v>23</v>
      </c>
      <c r="B25" s="87" t="s">
        <v>108</v>
      </c>
      <c r="C25" s="24" t="s">
        <v>13</v>
      </c>
      <c r="D25" s="84">
        <v>11.6</v>
      </c>
      <c r="E25" s="84"/>
      <c r="F25" s="84"/>
      <c r="G25" s="84"/>
      <c r="H25" s="84">
        <f t="shared" si="0"/>
        <v>0</v>
      </c>
      <c r="I25" s="84"/>
      <c r="J25" s="84">
        <f t="shared" si="1"/>
        <v>0</v>
      </c>
      <c r="K25" s="84">
        <f t="shared" si="2"/>
        <v>0</v>
      </c>
      <c r="L25" s="115"/>
    </row>
    <row r="26" spans="1:14" ht="27" x14ac:dyDescent="0.35">
      <c r="A26" s="56">
        <v>24</v>
      </c>
      <c r="B26" s="87" t="s">
        <v>109</v>
      </c>
      <c r="C26" s="24" t="s">
        <v>104</v>
      </c>
      <c r="D26" s="84">
        <v>6</v>
      </c>
      <c r="E26" s="84"/>
      <c r="F26" s="84"/>
      <c r="G26" s="84"/>
      <c r="H26" s="84">
        <f t="shared" si="0"/>
        <v>0</v>
      </c>
      <c r="I26" s="84"/>
      <c r="J26" s="84">
        <f t="shared" si="1"/>
        <v>0</v>
      </c>
      <c r="K26" s="84">
        <f t="shared" si="2"/>
        <v>0</v>
      </c>
      <c r="L26" s="115"/>
    </row>
    <row r="27" spans="1:14" x14ac:dyDescent="0.35">
      <c r="A27" s="56">
        <v>25</v>
      </c>
      <c r="B27" s="87" t="s">
        <v>110</v>
      </c>
      <c r="C27" s="24" t="s">
        <v>35</v>
      </c>
      <c r="D27" s="84">
        <v>60</v>
      </c>
      <c r="E27" s="84"/>
      <c r="F27" s="84"/>
      <c r="G27" s="106"/>
      <c r="H27" s="84">
        <f t="shared" si="0"/>
        <v>0</v>
      </c>
      <c r="I27" s="84"/>
      <c r="J27" s="84"/>
      <c r="K27" s="84">
        <f t="shared" si="2"/>
        <v>0</v>
      </c>
      <c r="L27" s="115"/>
    </row>
    <row r="28" spans="1:14" x14ac:dyDescent="0.35">
      <c r="A28" s="56">
        <v>26</v>
      </c>
      <c r="B28" s="87" t="s">
        <v>114</v>
      </c>
      <c r="C28" s="24" t="s">
        <v>15</v>
      </c>
      <c r="D28" s="84">
        <v>120</v>
      </c>
      <c r="E28" s="84"/>
      <c r="F28" s="84"/>
      <c r="G28" s="84"/>
      <c r="H28" s="84">
        <f t="shared" si="0"/>
        <v>0</v>
      </c>
      <c r="I28" s="84"/>
      <c r="J28" s="84">
        <f t="shared" si="1"/>
        <v>0</v>
      </c>
      <c r="K28" s="84">
        <f t="shared" si="2"/>
        <v>0</v>
      </c>
      <c r="L28" s="115"/>
    </row>
    <row r="29" spans="1:14" x14ac:dyDescent="0.35">
      <c r="A29" s="56">
        <v>27</v>
      </c>
      <c r="B29" s="85" t="s">
        <v>111</v>
      </c>
      <c r="C29" s="24" t="s">
        <v>45</v>
      </c>
      <c r="D29" s="84">
        <v>28</v>
      </c>
      <c r="E29" s="84"/>
      <c r="F29" s="84"/>
      <c r="G29" s="84"/>
      <c r="H29" s="84">
        <f t="shared" si="0"/>
        <v>0</v>
      </c>
      <c r="I29" s="84"/>
      <c r="J29" s="84">
        <f t="shared" si="1"/>
        <v>0</v>
      </c>
      <c r="K29" s="84">
        <f t="shared" si="2"/>
        <v>0</v>
      </c>
      <c r="L29" s="115"/>
    </row>
    <row r="30" spans="1:14" x14ac:dyDescent="0.35">
      <c r="A30" s="56">
        <v>28</v>
      </c>
      <c r="B30" s="85" t="s">
        <v>32</v>
      </c>
      <c r="C30" s="24" t="s">
        <v>30</v>
      </c>
      <c r="D30" s="84">
        <f>D29*1.5</f>
        <v>42</v>
      </c>
      <c r="E30" s="84"/>
      <c r="F30" s="84"/>
      <c r="G30" s="84"/>
      <c r="H30" s="84">
        <f t="shared" si="0"/>
        <v>0</v>
      </c>
      <c r="I30" s="84"/>
      <c r="J30" s="84">
        <f t="shared" si="1"/>
        <v>0</v>
      </c>
      <c r="K30" s="84">
        <f t="shared" si="2"/>
        <v>0</v>
      </c>
      <c r="L30" s="115"/>
    </row>
    <row r="31" spans="1:14" x14ac:dyDescent="0.35">
      <c r="A31" s="108"/>
      <c r="B31" s="109" t="s">
        <v>164</v>
      </c>
      <c r="C31" s="110"/>
      <c r="D31" s="111"/>
      <c r="E31" s="111"/>
      <c r="F31" s="111"/>
      <c r="G31" s="111"/>
      <c r="H31" s="111"/>
      <c r="I31" s="111"/>
      <c r="J31" s="111"/>
      <c r="K31" s="111"/>
      <c r="L31" s="115"/>
    </row>
    <row r="32" spans="1:14" x14ac:dyDescent="0.35">
      <c r="A32" s="135"/>
      <c r="B32" s="54" t="s">
        <v>127</v>
      </c>
      <c r="C32" s="24"/>
      <c r="D32" s="84"/>
      <c r="E32" s="84"/>
      <c r="F32" s="84"/>
      <c r="G32" s="84"/>
      <c r="H32" s="84"/>
      <c r="I32" s="84"/>
      <c r="J32" s="84"/>
      <c r="K32" s="84"/>
      <c r="L32" s="115"/>
    </row>
    <row r="33" spans="1:12" ht="27" x14ac:dyDescent="0.35">
      <c r="A33" s="245">
        <v>32</v>
      </c>
      <c r="B33" s="96" t="s">
        <v>128</v>
      </c>
      <c r="C33" s="56" t="s">
        <v>15</v>
      </c>
      <c r="D33" s="97">
        <v>80</v>
      </c>
      <c r="E33" s="91"/>
      <c r="F33" s="91"/>
      <c r="G33" s="91"/>
      <c r="H33" s="91">
        <f t="shared" ref="H33:H42" si="3">G33*D33</f>
        <v>0</v>
      </c>
      <c r="I33" s="91"/>
      <c r="J33" s="91">
        <f>I33*D33</f>
        <v>0</v>
      </c>
      <c r="K33" s="91">
        <f t="shared" ref="K33:K46" si="4">J33+H33+F33</f>
        <v>0</v>
      </c>
      <c r="L33" s="115"/>
    </row>
    <row r="34" spans="1:12" x14ac:dyDescent="0.35">
      <c r="A34" s="246"/>
      <c r="B34" s="88" t="s">
        <v>82</v>
      </c>
      <c r="C34" s="89" t="s">
        <v>15</v>
      </c>
      <c r="D34" s="91">
        <f>D33*1.1</f>
        <v>88</v>
      </c>
      <c r="E34" s="91"/>
      <c r="F34" s="91">
        <f t="shared" ref="F34:F46" si="5">E34*D34</f>
        <v>0</v>
      </c>
      <c r="G34" s="91"/>
      <c r="H34" s="91"/>
      <c r="I34" s="91"/>
      <c r="J34" s="91"/>
      <c r="K34" s="91">
        <f t="shared" si="4"/>
        <v>0</v>
      </c>
      <c r="L34" s="115"/>
    </row>
    <row r="35" spans="1:12" x14ac:dyDescent="0.35">
      <c r="A35" s="247"/>
      <c r="B35" s="92" t="s">
        <v>80</v>
      </c>
      <c r="C35" s="89" t="s">
        <v>37</v>
      </c>
      <c r="D35" s="91">
        <v>5</v>
      </c>
      <c r="E35" s="91"/>
      <c r="F35" s="91">
        <f t="shared" si="5"/>
        <v>0</v>
      </c>
      <c r="G35" s="91"/>
      <c r="H35" s="91"/>
      <c r="I35" s="91"/>
      <c r="J35" s="91"/>
      <c r="K35" s="91">
        <f t="shared" si="4"/>
        <v>0</v>
      </c>
      <c r="L35" s="115"/>
    </row>
    <row r="36" spans="1:12" ht="27" x14ac:dyDescent="0.35">
      <c r="A36" s="245">
        <v>33</v>
      </c>
      <c r="B36" s="90" t="s">
        <v>129</v>
      </c>
      <c r="C36" s="86" t="s">
        <v>13</v>
      </c>
      <c r="D36" s="60">
        <f>D24</f>
        <v>70</v>
      </c>
      <c r="E36" s="91"/>
      <c r="F36" s="91"/>
      <c r="G36" s="91"/>
      <c r="H36" s="91">
        <f t="shared" si="3"/>
        <v>0</v>
      </c>
      <c r="I36" s="91"/>
      <c r="J36" s="91">
        <f>I36*D36</f>
        <v>0</v>
      </c>
      <c r="K36" s="91">
        <f t="shared" si="4"/>
        <v>0</v>
      </c>
      <c r="L36" s="114"/>
    </row>
    <row r="37" spans="1:12" x14ac:dyDescent="0.35">
      <c r="A37" s="246"/>
      <c r="B37" s="33" t="s">
        <v>55</v>
      </c>
      <c r="C37" s="89" t="s">
        <v>13</v>
      </c>
      <c r="D37" s="91">
        <f>D36*1.05</f>
        <v>73.5</v>
      </c>
      <c r="E37" s="91"/>
      <c r="F37" s="91">
        <f t="shared" si="5"/>
        <v>0</v>
      </c>
      <c r="G37" s="91"/>
      <c r="H37" s="91"/>
      <c r="I37" s="91"/>
      <c r="J37" s="91"/>
      <c r="K37" s="91">
        <f t="shared" si="4"/>
        <v>0</v>
      </c>
      <c r="L37" s="115"/>
    </row>
    <row r="38" spans="1:12" x14ac:dyDescent="0.35">
      <c r="A38" s="246"/>
      <c r="B38" s="33" t="s">
        <v>50</v>
      </c>
      <c r="C38" s="89" t="s">
        <v>19</v>
      </c>
      <c r="D38" s="91">
        <f>D36*5</f>
        <v>350</v>
      </c>
      <c r="E38" s="91"/>
      <c r="F38" s="91">
        <f t="shared" si="5"/>
        <v>0</v>
      </c>
      <c r="G38" s="91"/>
      <c r="H38" s="91"/>
      <c r="I38" s="91"/>
      <c r="J38" s="91"/>
      <c r="K38" s="91">
        <f t="shared" si="4"/>
        <v>0</v>
      </c>
    </row>
    <row r="39" spans="1:12" x14ac:dyDescent="0.35">
      <c r="A39" s="246"/>
      <c r="B39" s="33" t="s">
        <v>71</v>
      </c>
      <c r="C39" s="89" t="s">
        <v>19</v>
      </c>
      <c r="D39" s="91">
        <f>D36*0.04</f>
        <v>2.8000000000000003</v>
      </c>
      <c r="E39" s="91"/>
      <c r="F39" s="91">
        <f t="shared" si="5"/>
        <v>0</v>
      </c>
      <c r="G39" s="91"/>
      <c r="H39" s="91"/>
      <c r="I39" s="91"/>
      <c r="J39" s="91"/>
      <c r="K39" s="91">
        <f t="shared" si="4"/>
        <v>0</v>
      </c>
    </row>
    <row r="40" spans="1:12" x14ac:dyDescent="0.35">
      <c r="A40" s="246"/>
      <c r="B40" s="33" t="s">
        <v>51</v>
      </c>
      <c r="C40" s="89" t="s">
        <v>14</v>
      </c>
      <c r="D40" s="91">
        <f>D36*0.7</f>
        <v>49</v>
      </c>
      <c r="E40" s="91"/>
      <c r="F40" s="91">
        <f t="shared" si="5"/>
        <v>0</v>
      </c>
      <c r="G40" s="91"/>
      <c r="H40" s="91"/>
      <c r="I40" s="91"/>
      <c r="J40" s="91"/>
      <c r="K40" s="91">
        <f t="shared" si="4"/>
        <v>0</v>
      </c>
    </row>
    <row r="41" spans="1:12" x14ac:dyDescent="0.35">
      <c r="A41" s="247"/>
      <c r="B41" s="33" t="s">
        <v>17</v>
      </c>
      <c r="C41" s="89" t="s">
        <v>18</v>
      </c>
      <c r="D41" s="91">
        <f>D37*0.08</f>
        <v>5.88</v>
      </c>
      <c r="E41" s="91"/>
      <c r="F41" s="91">
        <f t="shared" si="5"/>
        <v>0</v>
      </c>
      <c r="G41" s="91"/>
      <c r="H41" s="91"/>
      <c r="I41" s="91"/>
      <c r="J41" s="91"/>
      <c r="K41" s="91">
        <f t="shared" si="4"/>
        <v>0</v>
      </c>
    </row>
    <row r="42" spans="1:12" x14ac:dyDescent="0.35">
      <c r="A42" s="245">
        <v>34</v>
      </c>
      <c r="B42" s="74" t="s">
        <v>58</v>
      </c>
      <c r="C42" s="86" t="s">
        <v>15</v>
      </c>
      <c r="D42" s="60">
        <v>30</v>
      </c>
      <c r="E42" s="91"/>
      <c r="F42" s="91"/>
      <c r="G42" s="91"/>
      <c r="H42" s="91">
        <f t="shared" si="3"/>
        <v>0</v>
      </c>
      <c r="I42" s="91"/>
      <c r="J42" s="91">
        <f>I42*D42</f>
        <v>0</v>
      </c>
      <c r="K42" s="91">
        <f t="shared" si="4"/>
        <v>0</v>
      </c>
    </row>
    <row r="43" spans="1:12" x14ac:dyDescent="0.35">
      <c r="A43" s="246"/>
      <c r="B43" s="92" t="s">
        <v>59</v>
      </c>
      <c r="C43" s="89" t="s">
        <v>15</v>
      </c>
      <c r="D43" s="91">
        <f>1.03*D42</f>
        <v>30.900000000000002</v>
      </c>
      <c r="E43" s="91"/>
      <c r="F43" s="91">
        <f t="shared" si="5"/>
        <v>0</v>
      </c>
      <c r="G43" s="91"/>
      <c r="H43" s="91"/>
      <c r="I43" s="91"/>
      <c r="J43" s="91"/>
      <c r="K43" s="91">
        <f t="shared" si="4"/>
        <v>0</v>
      </c>
    </row>
    <row r="44" spans="1:12" x14ac:dyDescent="0.35">
      <c r="A44" s="246"/>
      <c r="B44" s="92" t="s">
        <v>61</v>
      </c>
      <c r="C44" s="89" t="s">
        <v>37</v>
      </c>
      <c r="D44" s="91">
        <f>D42*4</f>
        <v>120</v>
      </c>
      <c r="E44" s="91"/>
      <c r="F44" s="91">
        <f t="shared" si="5"/>
        <v>0</v>
      </c>
      <c r="G44" s="91"/>
      <c r="H44" s="91"/>
      <c r="I44" s="91"/>
      <c r="J44" s="91"/>
      <c r="K44" s="91">
        <f t="shared" si="4"/>
        <v>0</v>
      </c>
    </row>
    <row r="45" spans="1:12" x14ac:dyDescent="0.35">
      <c r="A45" s="246"/>
      <c r="B45" s="92" t="s">
        <v>60</v>
      </c>
      <c r="C45" s="89" t="s">
        <v>37</v>
      </c>
      <c r="D45" s="91">
        <v>15</v>
      </c>
      <c r="E45" s="91"/>
      <c r="F45" s="91">
        <f t="shared" si="5"/>
        <v>0</v>
      </c>
      <c r="G45" s="91"/>
      <c r="H45" s="91"/>
      <c r="I45" s="91"/>
      <c r="J45" s="91"/>
      <c r="K45" s="91">
        <f t="shared" si="4"/>
        <v>0</v>
      </c>
    </row>
    <row r="46" spans="1:12" x14ac:dyDescent="0.35">
      <c r="A46" s="247"/>
      <c r="B46" s="92" t="s">
        <v>17</v>
      </c>
      <c r="C46" s="89" t="s">
        <v>18</v>
      </c>
      <c r="D46" s="91">
        <f>D42*0.03</f>
        <v>0.89999999999999991</v>
      </c>
      <c r="E46" s="91"/>
      <c r="F46" s="91">
        <f t="shared" si="5"/>
        <v>0</v>
      </c>
      <c r="G46" s="91"/>
      <c r="H46" s="91"/>
      <c r="I46" s="91"/>
      <c r="J46" s="91"/>
      <c r="K46" s="91">
        <f t="shared" si="4"/>
        <v>0</v>
      </c>
    </row>
    <row r="47" spans="1:12" x14ac:dyDescent="0.35">
      <c r="A47" s="131"/>
      <c r="B47" s="72" t="s">
        <v>122</v>
      </c>
      <c r="C47" s="89"/>
      <c r="D47" s="84"/>
      <c r="E47" s="84"/>
      <c r="F47" s="84"/>
      <c r="G47" s="84"/>
      <c r="H47" s="84"/>
      <c r="I47" s="84"/>
      <c r="J47" s="84"/>
      <c r="K47" s="44"/>
      <c r="L47" s="116"/>
    </row>
    <row r="48" spans="1:12" x14ac:dyDescent="0.35">
      <c r="A48" s="245">
        <v>36</v>
      </c>
      <c r="B48" s="20" t="s">
        <v>123</v>
      </c>
      <c r="C48" s="59" t="s">
        <v>118</v>
      </c>
      <c r="D48" s="107">
        <f>D16</f>
        <v>155</v>
      </c>
      <c r="E48" s="84"/>
      <c r="F48" s="84"/>
      <c r="G48" s="84"/>
      <c r="H48" s="84">
        <f t="shared" ref="H48" si="6">G48*D48</f>
        <v>0</v>
      </c>
      <c r="I48" s="84"/>
      <c r="J48" s="84"/>
      <c r="K48" s="84">
        <f t="shared" ref="K48:K57" si="7">J48+H48+F48</f>
        <v>0</v>
      </c>
      <c r="L48" s="116"/>
    </row>
    <row r="49" spans="1:12" x14ac:dyDescent="0.35">
      <c r="A49" s="246"/>
      <c r="B49" s="18" t="s">
        <v>48</v>
      </c>
      <c r="C49" s="24" t="s">
        <v>46</v>
      </c>
      <c r="D49" s="84">
        <f>D48*0.063</f>
        <v>9.7650000000000006</v>
      </c>
      <c r="E49" s="84"/>
      <c r="F49" s="84">
        <f t="shared" ref="F49:F52" si="8">E49*D49</f>
        <v>0</v>
      </c>
      <c r="G49" s="84"/>
      <c r="H49" s="84"/>
      <c r="I49" s="84"/>
      <c r="J49" s="84">
        <f t="shared" ref="J49:J51" si="9">I49*D49</f>
        <v>0</v>
      </c>
      <c r="K49" s="84">
        <f t="shared" si="7"/>
        <v>0</v>
      </c>
      <c r="L49" s="116"/>
    </row>
    <row r="50" spans="1:12" x14ac:dyDescent="0.35">
      <c r="A50" s="246"/>
      <c r="B50" s="18" t="s">
        <v>52</v>
      </c>
      <c r="C50" s="24" t="s">
        <v>16</v>
      </c>
      <c r="D50" s="84">
        <f>D49*0.3</f>
        <v>2.9295</v>
      </c>
      <c r="E50" s="84"/>
      <c r="F50" s="84">
        <f t="shared" si="8"/>
        <v>0</v>
      </c>
      <c r="G50" s="84"/>
      <c r="H50" s="84"/>
      <c r="I50" s="84"/>
      <c r="J50" s="84">
        <f t="shared" si="9"/>
        <v>0</v>
      </c>
      <c r="K50" s="84">
        <f t="shared" si="7"/>
        <v>0</v>
      </c>
      <c r="L50" s="116"/>
    </row>
    <row r="51" spans="1:12" x14ac:dyDescent="0.35">
      <c r="A51" s="246"/>
      <c r="B51" s="87" t="s">
        <v>74</v>
      </c>
      <c r="C51" s="39" t="s">
        <v>37</v>
      </c>
      <c r="D51" s="40">
        <f>D48*0.15</f>
        <v>23.25</v>
      </c>
      <c r="E51" s="41"/>
      <c r="F51" s="84">
        <f t="shared" si="8"/>
        <v>0</v>
      </c>
      <c r="G51" s="41"/>
      <c r="H51" s="84"/>
      <c r="I51" s="41"/>
      <c r="J51" s="84">
        <f t="shared" si="9"/>
        <v>0</v>
      </c>
      <c r="K51" s="84">
        <f t="shared" si="7"/>
        <v>0</v>
      </c>
      <c r="L51" s="116"/>
    </row>
    <row r="52" spans="1:12" x14ac:dyDescent="0.35">
      <c r="A52" s="247"/>
      <c r="B52" s="33" t="s">
        <v>17</v>
      </c>
      <c r="C52" s="89" t="s">
        <v>18</v>
      </c>
      <c r="D52" s="91">
        <f>D48*0.07</f>
        <v>10.850000000000001</v>
      </c>
      <c r="E52" s="91"/>
      <c r="F52" s="84">
        <f t="shared" si="8"/>
        <v>0</v>
      </c>
      <c r="G52" s="91"/>
      <c r="H52" s="84"/>
      <c r="I52" s="91"/>
      <c r="J52" s="84"/>
      <c r="K52" s="84">
        <f t="shared" si="7"/>
        <v>0</v>
      </c>
      <c r="L52" s="116"/>
    </row>
    <row r="53" spans="1:12" s="154" customFormat="1" x14ac:dyDescent="0.35">
      <c r="A53" s="259">
        <v>39</v>
      </c>
      <c r="B53" s="166" t="s">
        <v>117</v>
      </c>
      <c r="C53" s="167" t="s">
        <v>118</v>
      </c>
      <c r="D53" s="160">
        <f>D12</f>
        <v>104</v>
      </c>
      <c r="E53" s="152"/>
      <c r="F53" s="152"/>
      <c r="G53" s="152"/>
      <c r="H53" s="152">
        <f>G53*D53</f>
        <v>0</v>
      </c>
      <c r="I53" s="152"/>
      <c r="J53" s="152">
        <f>I53*D53</f>
        <v>0</v>
      </c>
      <c r="K53" s="152">
        <f t="shared" si="7"/>
        <v>0</v>
      </c>
    </row>
    <row r="54" spans="1:12" s="154" customFormat="1" x14ac:dyDescent="0.35">
      <c r="A54" s="260"/>
      <c r="B54" s="168" t="s">
        <v>119</v>
      </c>
      <c r="C54" s="169" t="s">
        <v>19</v>
      </c>
      <c r="D54" s="170">
        <f>D53*0.7</f>
        <v>72.8</v>
      </c>
      <c r="E54" s="171"/>
      <c r="F54" s="152">
        <f>E54*D54</f>
        <v>0</v>
      </c>
      <c r="G54" s="170"/>
      <c r="H54" s="172"/>
      <c r="I54" s="170"/>
      <c r="J54" s="172"/>
      <c r="K54" s="152">
        <f t="shared" si="7"/>
        <v>0</v>
      </c>
    </row>
    <row r="55" spans="1:12" s="154" customFormat="1" x14ac:dyDescent="0.35">
      <c r="A55" s="260"/>
      <c r="B55" s="168" t="s">
        <v>120</v>
      </c>
      <c r="C55" s="169" t="s">
        <v>15</v>
      </c>
      <c r="D55" s="170">
        <v>263</v>
      </c>
      <c r="E55" s="171"/>
      <c r="F55" s="152">
        <f>E55*D55</f>
        <v>0</v>
      </c>
      <c r="G55" s="170"/>
      <c r="H55" s="172"/>
      <c r="I55" s="170"/>
      <c r="J55" s="172"/>
      <c r="K55" s="152">
        <f t="shared" si="7"/>
        <v>0</v>
      </c>
    </row>
    <row r="56" spans="1:12" s="154" customFormat="1" x14ac:dyDescent="0.35">
      <c r="A56" s="261"/>
      <c r="B56" s="168" t="s">
        <v>34</v>
      </c>
      <c r="C56" s="169" t="s">
        <v>18</v>
      </c>
      <c r="D56" s="170">
        <f>D53*0.1</f>
        <v>10.4</v>
      </c>
      <c r="E56" s="171"/>
      <c r="F56" s="152">
        <f>E56*D56</f>
        <v>0</v>
      </c>
      <c r="G56" s="170"/>
      <c r="H56" s="172"/>
      <c r="I56" s="170"/>
      <c r="J56" s="172"/>
      <c r="K56" s="152">
        <f t="shared" si="7"/>
        <v>0</v>
      </c>
    </row>
    <row r="57" spans="1:12" x14ac:dyDescent="0.35">
      <c r="A57" s="132">
        <v>40</v>
      </c>
      <c r="B57" s="90" t="s">
        <v>53</v>
      </c>
      <c r="C57" s="86" t="s">
        <v>13</v>
      </c>
      <c r="D57" s="107">
        <f>D53</f>
        <v>104</v>
      </c>
      <c r="E57" s="91"/>
      <c r="F57" s="84"/>
      <c r="G57" s="91"/>
      <c r="H57" s="84">
        <f t="shared" ref="H57" si="10">G57*D57</f>
        <v>0</v>
      </c>
      <c r="I57" s="91"/>
      <c r="J57" s="84">
        <f>I57*D57</f>
        <v>0</v>
      </c>
      <c r="K57" s="84">
        <f t="shared" si="7"/>
        <v>0</v>
      </c>
      <c r="L57" s="114"/>
    </row>
    <row r="58" spans="1:12" ht="40.5" x14ac:dyDescent="0.35">
      <c r="A58" s="245">
        <v>43</v>
      </c>
      <c r="B58" s="90" t="s">
        <v>179</v>
      </c>
      <c r="C58" s="86" t="s">
        <v>13</v>
      </c>
      <c r="D58" s="107">
        <f>D14+D15+33.4</f>
        <v>737.55</v>
      </c>
      <c r="E58" s="104"/>
      <c r="F58" s="105"/>
      <c r="G58" s="104"/>
      <c r="H58" s="105">
        <f t="shared" ref="H58:H64" si="11">G58*D58</f>
        <v>0</v>
      </c>
      <c r="I58" s="104"/>
      <c r="J58" s="105">
        <f>I58*D58</f>
        <v>0</v>
      </c>
      <c r="K58" s="105">
        <f t="shared" ref="K58:K66" si="12">J58+H58+F58</f>
        <v>0</v>
      </c>
      <c r="L58" s="114"/>
    </row>
    <row r="59" spans="1:12" x14ac:dyDescent="0.35">
      <c r="A59" s="246"/>
      <c r="B59" s="87" t="s">
        <v>189</v>
      </c>
      <c r="C59" s="89" t="s">
        <v>13</v>
      </c>
      <c r="D59" s="91">
        <f>D58*1.03</f>
        <v>759.67649999999992</v>
      </c>
      <c r="E59" s="91"/>
      <c r="F59" s="84">
        <f t="shared" ref="F59:F63" si="13">E59*D59</f>
        <v>0</v>
      </c>
      <c r="G59" s="91"/>
      <c r="H59" s="84"/>
      <c r="I59" s="91"/>
      <c r="J59" s="84"/>
      <c r="K59" s="84">
        <f t="shared" si="12"/>
        <v>0</v>
      </c>
      <c r="L59" s="114"/>
    </row>
    <row r="60" spans="1:12" x14ac:dyDescent="0.35">
      <c r="A60" s="246"/>
      <c r="B60" s="33" t="s">
        <v>50</v>
      </c>
      <c r="C60" s="89" t="s">
        <v>19</v>
      </c>
      <c r="D60" s="94">
        <f>D58*6</f>
        <v>4425.2999999999993</v>
      </c>
      <c r="E60" s="91"/>
      <c r="F60" s="84">
        <f t="shared" si="13"/>
        <v>0</v>
      </c>
      <c r="G60" s="91"/>
      <c r="H60" s="84"/>
      <c r="I60" s="91"/>
      <c r="J60" s="84"/>
      <c r="K60" s="84">
        <f t="shared" si="12"/>
        <v>0</v>
      </c>
      <c r="L60" s="114"/>
    </row>
    <row r="61" spans="1:12" x14ac:dyDescent="0.35">
      <c r="A61" s="246"/>
      <c r="B61" s="87" t="s">
        <v>121</v>
      </c>
      <c r="C61" s="89" t="s">
        <v>14</v>
      </c>
      <c r="D61" s="91">
        <f>D59*0.1</f>
        <v>75.967649999999992</v>
      </c>
      <c r="E61" s="91"/>
      <c r="F61" s="84">
        <f t="shared" si="13"/>
        <v>0</v>
      </c>
      <c r="G61" s="91"/>
      <c r="H61" s="84"/>
      <c r="I61" s="91"/>
      <c r="J61" s="84"/>
      <c r="K61" s="84">
        <f>J61+H61+F61</f>
        <v>0</v>
      </c>
      <c r="L61" s="114"/>
    </row>
    <row r="62" spans="1:12" x14ac:dyDescent="0.35">
      <c r="A62" s="246"/>
      <c r="B62" s="33" t="s">
        <v>75</v>
      </c>
      <c r="C62" s="89" t="s">
        <v>37</v>
      </c>
      <c r="D62" s="91">
        <v>3</v>
      </c>
      <c r="E62" s="91"/>
      <c r="F62" s="84">
        <f t="shared" si="13"/>
        <v>0</v>
      </c>
      <c r="G62" s="91"/>
      <c r="H62" s="84"/>
      <c r="I62" s="91"/>
      <c r="J62" s="84"/>
      <c r="K62" s="84">
        <f t="shared" ref="K62:K63" si="14">J62+H62+F62</f>
        <v>0</v>
      </c>
      <c r="L62" s="114"/>
    </row>
    <row r="63" spans="1:12" x14ac:dyDescent="0.35">
      <c r="A63" s="247"/>
      <c r="B63" s="33" t="s">
        <v>17</v>
      </c>
      <c r="C63" s="89" t="s">
        <v>18</v>
      </c>
      <c r="D63" s="91">
        <f>D59*0.07</f>
        <v>53.177354999999999</v>
      </c>
      <c r="E63" s="91"/>
      <c r="F63" s="84">
        <f t="shared" si="13"/>
        <v>0</v>
      </c>
      <c r="G63" s="91"/>
      <c r="H63" s="84"/>
      <c r="I63" s="91"/>
      <c r="J63" s="84"/>
      <c r="K63" s="84">
        <f t="shared" si="14"/>
        <v>0</v>
      </c>
      <c r="L63" s="114"/>
    </row>
    <row r="64" spans="1:12" x14ac:dyDescent="0.35">
      <c r="A64" s="132">
        <v>44</v>
      </c>
      <c r="B64" s="90" t="s">
        <v>54</v>
      </c>
      <c r="C64" s="86" t="s">
        <v>15</v>
      </c>
      <c r="D64" s="107">
        <v>40</v>
      </c>
      <c r="E64" s="104"/>
      <c r="F64" s="105"/>
      <c r="G64" s="104"/>
      <c r="H64" s="105">
        <f t="shared" si="11"/>
        <v>0</v>
      </c>
      <c r="I64" s="104"/>
      <c r="J64" s="105">
        <f>I64*D64</f>
        <v>0</v>
      </c>
      <c r="K64" s="105">
        <f t="shared" si="12"/>
        <v>0</v>
      </c>
      <c r="L64" s="118"/>
    </row>
    <row r="65" spans="1:12" x14ac:dyDescent="0.35">
      <c r="A65" s="133"/>
      <c r="B65" s="87" t="s">
        <v>183</v>
      </c>
      <c r="C65" s="89" t="s">
        <v>13</v>
      </c>
      <c r="D65" s="91">
        <f>D64*0.07*1.03</f>
        <v>2.8840000000000003</v>
      </c>
      <c r="E65" s="91"/>
      <c r="F65" s="84">
        <f t="shared" ref="F65:F69" si="15">E65*D65</f>
        <v>0</v>
      </c>
      <c r="G65" s="91"/>
      <c r="H65" s="84"/>
      <c r="I65" s="91"/>
      <c r="J65" s="84"/>
      <c r="K65" s="84">
        <f t="shared" si="12"/>
        <v>0</v>
      </c>
      <c r="L65" s="118"/>
    </row>
    <row r="66" spans="1:12" x14ac:dyDescent="0.35">
      <c r="A66" s="133"/>
      <c r="B66" s="33" t="s">
        <v>50</v>
      </c>
      <c r="C66" s="89" t="s">
        <v>19</v>
      </c>
      <c r="D66" s="94">
        <f>D64*0.07*6</f>
        <v>16.8</v>
      </c>
      <c r="E66" s="91"/>
      <c r="F66" s="84">
        <f t="shared" si="15"/>
        <v>0</v>
      </c>
      <c r="G66" s="91"/>
      <c r="H66" s="84"/>
      <c r="I66" s="91"/>
      <c r="J66" s="84"/>
      <c r="K66" s="84">
        <f t="shared" si="12"/>
        <v>0</v>
      </c>
      <c r="L66" s="118"/>
    </row>
    <row r="67" spans="1:12" x14ac:dyDescent="0.35">
      <c r="A67" s="133"/>
      <c r="B67" s="87" t="s">
        <v>121</v>
      </c>
      <c r="C67" s="89" t="s">
        <v>14</v>
      </c>
      <c r="D67" s="91">
        <f>D64*0.07*0.1</f>
        <v>0.28000000000000003</v>
      </c>
      <c r="E67" s="91"/>
      <c r="F67" s="84">
        <f t="shared" si="15"/>
        <v>0</v>
      </c>
      <c r="G67" s="91"/>
      <c r="H67" s="84"/>
      <c r="I67" s="91"/>
      <c r="J67" s="84"/>
      <c r="K67" s="84">
        <f>J67+H67+F67</f>
        <v>0</v>
      </c>
      <c r="L67" s="118"/>
    </row>
    <row r="68" spans="1:12" x14ac:dyDescent="0.35">
      <c r="A68" s="133"/>
      <c r="B68" s="33" t="s">
        <v>75</v>
      </c>
      <c r="C68" s="89" t="s">
        <v>37</v>
      </c>
      <c r="D68" s="91">
        <v>1</v>
      </c>
      <c r="E68" s="91"/>
      <c r="F68" s="84">
        <f t="shared" si="15"/>
        <v>0</v>
      </c>
      <c r="G68" s="91"/>
      <c r="H68" s="84"/>
      <c r="I68" s="91"/>
      <c r="J68" s="84"/>
      <c r="K68" s="84">
        <f t="shared" ref="K68:K69" si="16">J68+H68+F68</f>
        <v>0</v>
      </c>
      <c r="L68" s="118"/>
    </row>
    <row r="69" spans="1:12" x14ac:dyDescent="0.35">
      <c r="A69" s="133"/>
      <c r="B69" s="33" t="s">
        <v>17</v>
      </c>
      <c r="C69" s="89" t="s">
        <v>18</v>
      </c>
      <c r="D69" s="91">
        <f>D65*0.07</f>
        <v>0.20188000000000003</v>
      </c>
      <c r="E69" s="91"/>
      <c r="F69" s="84">
        <f t="shared" si="15"/>
        <v>0</v>
      </c>
      <c r="G69" s="91"/>
      <c r="H69" s="84"/>
      <c r="I69" s="91"/>
      <c r="J69" s="84"/>
      <c r="K69" s="84">
        <f t="shared" si="16"/>
        <v>0</v>
      </c>
      <c r="L69" s="118"/>
    </row>
    <row r="70" spans="1:12" x14ac:dyDescent="0.35">
      <c r="A70" s="134"/>
      <c r="B70" s="57" t="s">
        <v>124</v>
      </c>
      <c r="C70" s="89"/>
      <c r="D70" s="91"/>
      <c r="E70" s="104"/>
      <c r="F70" s="104"/>
      <c r="G70" s="104"/>
      <c r="H70" s="104"/>
      <c r="I70" s="104"/>
      <c r="J70" s="104"/>
      <c r="K70" s="104"/>
      <c r="L70" s="115"/>
    </row>
    <row r="71" spans="1:12" ht="27" x14ac:dyDescent="0.35">
      <c r="A71" s="245">
        <v>45</v>
      </c>
      <c r="B71" s="101" t="s">
        <v>163</v>
      </c>
      <c r="C71" s="102" t="s">
        <v>13</v>
      </c>
      <c r="D71" s="107">
        <f>D11+D12</f>
        <v>454</v>
      </c>
      <c r="E71" s="104"/>
      <c r="F71" s="104"/>
      <c r="G71" s="104"/>
      <c r="H71" s="104">
        <f t="shared" ref="H71" si="17">G71*D71</f>
        <v>0</v>
      </c>
      <c r="I71" s="104"/>
      <c r="J71" s="104">
        <f>I71*D71</f>
        <v>0</v>
      </c>
      <c r="K71" s="104">
        <f t="shared" ref="K71:K75" si="18">J71+H71+F71</f>
        <v>0</v>
      </c>
      <c r="L71" s="114"/>
    </row>
    <row r="72" spans="1:12" ht="27" x14ac:dyDescent="0.35">
      <c r="A72" s="246"/>
      <c r="B72" s="32" t="s">
        <v>157</v>
      </c>
      <c r="C72" s="89" t="s">
        <v>13</v>
      </c>
      <c r="D72" s="91">
        <f>D71</f>
        <v>454</v>
      </c>
      <c r="E72" s="91"/>
      <c r="F72" s="91">
        <f t="shared" ref="F72:F75" si="19">E72*D72</f>
        <v>0</v>
      </c>
      <c r="G72" s="91"/>
      <c r="H72" s="91"/>
      <c r="I72" s="91"/>
      <c r="J72" s="91"/>
      <c r="K72" s="91">
        <f t="shared" si="18"/>
        <v>0</v>
      </c>
    </row>
    <row r="73" spans="1:12" ht="40.5" x14ac:dyDescent="0.35">
      <c r="A73" s="246"/>
      <c r="B73" s="87" t="s">
        <v>79</v>
      </c>
      <c r="C73" s="89" t="s">
        <v>13</v>
      </c>
      <c r="D73" s="91">
        <f>D71*1.02</f>
        <v>463.08</v>
      </c>
      <c r="E73" s="91"/>
      <c r="F73" s="91">
        <f t="shared" si="19"/>
        <v>0</v>
      </c>
      <c r="G73" s="91"/>
      <c r="H73" s="91"/>
      <c r="I73" s="91"/>
      <c r="J73" s="91"/>
      <c r="K73" s="91">
        <f t="shared" si="18"/>
        <v>0</v>
      </c>
    </row>
    <row r="74" spans="1:12" x14ac:dyDescent="0.35">
      <c r="A74" s="246"/>
      <c r="B74" s="87" t="s">
        <v>77</v>
      </c>
      <c r="C74" s="89" t="s">
        <v>37</v>
      </c>
      <c r="D74" s="35">
        <f>D71*4</f>
        <v>1816</v>
      </c>
      <c r="E74" s="91"/>
      <c r="F74" s="91">
        <f t="shared" si="19"/>
        <v>0</v>
      </c>
      <c r="G74" s="91"/>
      <c r="H74" s="91"/>
      <c r="I74" s="91"/>
      <c r="J74" s="91"/>
      <c r="K74" s="91">
        <f t="shared" si="18"/>
        <v>0</v>
      </c>
    </row>
    <row r="75" spans="1:12" x14ac:dyDescent="0.35">
      <c r="A75" s="247"/>
      <c r="B75" s="92" t="s">
        <v>17</v>
      </c>
      <c r="C75" s="89" t="s">
        <v>18</v>
      </c>
      <c r="D75" s="91">
        <f>D71*0.07</f>
        <v>31.780000000000005</v>
      </c>
      <c r="E75" s="91"/>
      <c r="F75" s="91">
        <f t="shared" si="19"/>
        <v>0</v>
      </c>
      <c r="G75" s="91"/>
      <c r="H75" s="91"/>
      <c r="I75" s="91"/>
      <c r="J75" s="91"/>
      <c r="K75" s="91">
        <f t="shared" si="18"/>
        <v>0</v>
      </c>
    </row>
    <row r="76" spans="1:12" x14ac:dyDescent="0.35">
      <c r="A76" s="134"/>
      <c r="B76" s="54" t="s">
        <v>125</v>
      </c>
      <c r="C76" s="89"/>
      <c r="D76" s="91"/>
      <c r="E76" s="91"/>
      <c r="F76" s="84"/>
      <c r="G76" s="91"/>
      <c r="H76" s="84"/>
      <c r="I76" s="91"/>
      <c r="J76" s="84"/>
      <c r="K76" s="84"/>
    </row>
    <row r="77" spans="1:12" ht="40.5" x14ac:dyDescent="0.35">
      <c r="A77" s="56">
        <v>46</v>
      </c>
      <c r="B77" s="90" t="s">
        <v>210</v>
      </c>
      <c r="C77" s="86" t="s">
        <v>14</v>
      </c>
      <c r="D77" s="60">
        <v>53</v>
      </c>
      <c r="E77" s="91"/>
      <c r="F77" s="84">
        <f t="shared" ref="F77:F79" si="20">E77*D77</f>
        <v>0</v>
      </c>
      <c r="G77" s="91"/>
      <c r="H77" s="84">
        <f t="shared" ref="H77:H79" si="21">G77*D77</f>
        <v>0</v>
      </c>
      <c r="I77" s="91"/>
      <c r="J77" s="84">
        <f t="shared" ref="J77:J79" si="22">I77*D77</f>
        <v>0</v>
      </c>
      <c r="K77" s="84">
        <f t="shared" ref="K77:K79" si="23">J77+H77+F77</f>
        <v>0</v>
      </c>
    </row>
    <row r="78" spans="1:12" ht="27" x14ac:dyDescent="0.35">
      <c r="A78" s="56">
        <v>47</v>
      </c>
      <c r="B78" s="90" t="s">
        <v>211</v>
      </c>
      <c r="C78" s="86" t="s">
        <v>14</v>
      </c>
      <c r="D78" s="60">
        <v>4</v>
      </c>
      <c r="E78" s="91"/>
      <c r="F78" s="84">
        <f t="shared" si="20"/>
        <v>0</v>
      </c>
      <c r="G78" s="91"/>
      <c r="H78" s="84">
        <f t="shared" si="21"/>
        <v>0</v>
      </c>
      <c r="I78" s="91"/>
      <c r="J78" s="84">
        <f t="shared" si="22"/>
        <v>0</v>
      </c>
      <c r="K78" s="84">
        <f t="shared" si="23"/>
        <v>0</v>
      </c>
    </row>
    <row r="79" spans="1:12" ht="27" x14ac:dyDescent="0.35">
      <c r="A79" s="134">
        <v>50</v>
      </c>
      <c r="B79" s="20" t="s">
        <v>130</v>
      </c>
      <c r="C79" s="56" t="s">
        <v>126</v>
      </c>
      <c r="D79" s="97">
        <v>11.6</v>
      </c>
      <c r="E79" s="91"/>
      <c r="F79" s="84">
        <f t="shared" si="20"/>
        <v>0</v>
      </c>
      <c r="G79" s="91"/>
      <c r="H79" s="84">
        <f t="shared" si="21"/>
        <v>0</v>
      </c>
      <c r="I79" s="91"/>
      <c r="J79" s="84">
        <f t="shared" si="22"/>
        <v>0</v>
      </c>
      <c r="K79" s="84">
        <f t="shared" si="23"/>
        <v>0</v>
      </c>
    </row>
    <row r="80" spans="1:12" x14ac:dyDescent="0.35">
      <c r="A80" s="134"/>
      <c r="B80" s="54" t="s">
        <v>131</v>
      </c>
      <c r="C80" s="89"/>
      <c r="D80" s="91"/>
      <c r="E80" s="91"/>
      <c r="F80" s="84"/>
      <c r="G80" s="91"/>
      <c r="H80" s="84"/>
      <c r="I80" s="91"/>
      <c r="J80" s="84"/>
      <c r="K80" s="84"/>
    </row>
    <row r="81" spans="1:12" ht="27" x14ac:dyDescent="0.35">
      <c r="A81" s="250" t="s">
        <v>180</v>
      </c>
      <c r="B81" s="98" t="s">
        <v>158</v>
      </c>
      <c r="C81" s="97" t="s">
        <v>13</v>
      </c>
      <c r="D81" s="97">
        <v>3060</v>
      </c>
      <c r="E81" s="91"/>
      <c r="F81" s="91"/>
      <c r="G81" s="103"/>
      <c r="H81" s="91">
        <f>G81*D81</f>
        <v>0</v>
      </c>
      <c r="I81" s="91"/>
      <c r="J81" s="91">
        <f>I81*D81</f>
        <v>0</v>
      </c>
      <c r="K81" s="91">
        <f t="shared" ref="K81:K89" si="24">J81+H81+F81</f>
        <v>0</v>
      </c>
    </row>
    <row r="82" spans="1:12" x14ac:dyDescent="0.35">
      <c r="A82" s="251"/>
      <c r="B82" s="99" t="s">
        <v>56</v>
      </c>
      <c r="C82" s="91" t="s">
        <v>19</v>
      </c>
      <c r="D82" s="91">
        <f>0.45*D81</f>
        <v>1377</v>
      </c>
      <c r="E82" s="91"/>
      <c r="F82" s="91">
        <f t="shared" ref="F82:F89" si="25">E82*D82</f>
        <v>0</v>
      </c>
      <c r="G82" s="91"/>
      <c r="H82" s="91"/>
      <c r="I82" s="91"/>
      <c r="J82" s="91"/>
      <c r="K82" s="91">
        <f t="shared" si="24"/>
        <v>0</v>
      </c>
    </row>
    <row r="83" spans="1:12" x14ac:dyDescent="0.35">
      <c r="A83" s="251"/>
      <c r="B83" s="100" t="s">
        <v>149</v>
      </c>
      <c r="C83" s="91" t="s">
        <v>19</v>
      </c>
      <c r="D83" s="91">
        <f>D81*0.4</f>
        <v>1224</v>
      </c>
      <c r="E83" s="91"/>
      <c r="F83" s="91">
        <f t="shared" si="25"/>
        <v>0</v>
      </c>
      <c r="G83" s="91"/>
      <c r="H83" s="91"/>
      <c r="I83" s="91"/>
      <c r="J83" s="91"/>
      <c r="K83" s="91">
        <f t="shared" si="24"/>
        <v>0</v>
      </c>
    </row>
    <row r="84" spans="1:12" x14ac:dyDescent="0.35">
      <c r="A84" s="251"/>
      <c r="B84" s="100" t="s">
        <v>152</v>
      </c>
      <c r="C84" s="91" t="s">
        <v>19</v>
      </c>
      <c r="D84" s="91">
        <v>12</v>
      </c>
      <c r="E84" s="91"/>
      <c r="F84" s="91">
        <f t="shared" si="25"/>
        <v>0</v>
      </c>
      <c r="G84" s="91"/>
      <c r="H84" s="91"/>
      <c r="I84" s="91"/>
      <c r="J84" s="91"/>
      <c r="K84" s="91">
        <f t="shared" si="24"/>
        <v>0</v>
      </c>
    </row>
    <row r="85" spans="1:12" x14ac:dyDescent="0.35">
      <c r="A85" s="251"/>
      <c r="B85" s="100" t="s">
        <v>81</v>
      </c>
      <c r="C85" s="91" t="s">
        <v>19</v>
      </c>
      <c r="D85" s="91">
        <f>D81*0.15</f>
        <v>459</v>
      </c>
      <c r="E85" s="91"/>
      <c r="F85" s="91">
        <f t="shared" si="25"/>
        <v>0</v>
      </c>
      <c r="G85" s="91"/>
      <c r="H85" s="91"/>
      <c r="I85" s="91"/>
      <c r="J85" s="91"/>
      <c r="K85" s="91">
        <f t="shared" si="24"/>
        <v>0</v>
      </c>
    </row>
    <row r="86" spans="1:12" x14ac:dyDescent="0.35">
      <c r="A86" s="251"/>
      <c r="B86" s="99" t="s">
        <v>57</v>
      </c>
      <c r="C86" s="91" t="s">
        <v>13</v>
      </c>
      <c r="D86" s="91">
        <f>0.009*D81</f>
        <v>27.54</v>
      </c>
      <c r="E86" s="91"/>
      <c r="F86" s="91">
        <f t="shared" si="25"/>
        <v>0</v>
      </c>
      <c r="G86" s="91"/>
      <c r="H86" s="91"/>
      <c r="I86" s="91"/>
      <c r="J86" s="91"/>
      <c r="K86" s="91">
        <f t="shared" si="24"/>
        <v>0</v>
      </c>
    </row>
    <row r="87" spans="1:12" x14ac:dyDescent="0.35">
      <c r="A87" s="251"/>
      <c r="B87" s="99" t="s">
        <v>73</v>
      </c>
      <c r="C87" s="91" t="s">
        <v>15</v>
      </c>
      <c r="D87" s="91">
        <v>1300</v>
      </c>
      <c r="E87" s="91"/>
      <c r="F87" s="91">
        <f t="shared" si="25"/>
        <v>0</v>
      </c>
      <c r="G87" s="91"/>
      <c r="H87" s="91"/>
      <c r="I87" s="91"/>
      <c r="J87" s="91"/>
      <c r="K87" s="91">
        <f t="shared" si="24"/>
        <v>0</v>
      </c>
    </row>
    <row r="88" spans="1:12" x14ac:dyDescent="0.35">
      <c r="A88" s="251"/>
      <c r="B88" s="99" t="s">
        <v>72</v>
      </c>
      <c r="C88" s="91" t="s">
        <v>15</v>
      </c>
      <c r="D88" s="91">
        <f>0.26*D81</f>
        <v>795.6</v>
      </c>
      <c r="E88" s="91"/>
      <c r="F88" s="91">
        <f t="shared" si="25"/>
        <v>0</v>
      </c>
      <c r="G88" s="91"/>
      <c r="H88" s="91"/>
      <c r="I88" s="91"/>
      <c r="J88" s="91"/>
      <c r="K88" s="91">
        <f t="shared" si="24"/>
        <v>0</v>
      </c>
    </row>
    <row r="89" spans="1:12" x14ac:dyDescent="0.35">
      <c r="A89" s="252"/>
      <c r="B89" s="99" t="s">
        <v>17</v>
      </c>
      <c r="C89" s="91" t="s">
        <v>18</v>
      </c>
      <c r="D89" s="91">
        <f>D81*0.01</f>
        <v>30.6</v>
      </c>
      <c r="E89" s="91"/>
      <c r="F89" s="91">
        <f t="shared" si="25"/>
        <v>0</v>
      </c>
      <c r="G89" s="91"/>
      <c r="H89" s="91"/>
      <c r="I89" s="91"/>
      <c r="J89" s="91"/>
      <c r="K89" s="91">
        <f t="shared" si="24"/>
        <v>0</v>
      </c>
    </row>
    <row r="90" spans="1:12" ht="16.5" customHeight="1" x14ac:dyDescent="0.35">
      <c r="A90" s="56"/>
      <c r="B90" s="55" t="s">
        <v>62</v>
      </c>
      <c r="C90" s="89"/>
      <c r="D90" s="91"/>
      <c r="E90" s="91"/>
      <c r="F90" s="84">
        <f t="shared" ref="F90:F121" si="26">E90*D90</f>
        <v>0</v>
      </c>
      <c r="G90" s="91"/>
      <c r="H90" s="84"/>
      <c r="I90" s="91"/>
      <c r="J90" s="84"/>
      <c r="K90" s="84">
        <f t="shared" ref="K90:K121" si="27">J90+H90+F90</f>
        <v>0</v>
      </c>
    </row>
    <row r="91" spans="1:12" x14ac:dyDescent="0.35">
      <c r="A91" s="56">
        <v>59</v>
      </c>
      <c r="B91" s="87" t="s">
        <v>36</v>
      </c>
      <c r="C91" s="89" t="s">
        <v>15</v>
      </c>
      <c r="D91" s="91">
        <v>130</v>
      </c>
      <c r="E91" s="91"/>
      <c r="F91" s="84">
        <f t="shared" si="26"/>
        <v>0</v>
      </c>
      <c r="G91" s="91"/>
      <c r="H91" s="84">
        <f t="shared" ref="H91:H120" si="28">G91*D91</f>
        <v>0</v>
      </c>
      <c r="I91" s="91"/>
      <c r="J91" s="84">
        <f t="shared" ref="J91:J120" si="29">I91*D91</f>
        <v>0</v>
      </c>
      <c r="K91" s="84">
        <f t="shared" si="27"/>
        <v>0</v>
      </c>
      <c r="L91" s="117"/>
    </row>
    <row r="92" spans="1:12" x14ac:dyDescent="0.35">
      <c r="A92" s="56">
        <v>60</v>
      </c>
      <c r="B92" s="87" t="s">
        <v>63</v>
      </c>
      <c r="C92" s="89" t="s">
        <v>15</v>
      </c>
      <c r="D92" s="91">
        <v>145</v>
      </c>
      <c r="E92" s="91"/>
      <c r="F92" s="84">
        <f t="shared" si="26"/>
        <v>0</v>
      </c>
      <c r="G92" s="91"/>
      <c r="H92" s="84">
        <f t="shared" si="28"/>
        <v>0</v>
      </c>
      <c r="I92" s="91"/>
      <c r="J92" s="84">
        <f t="shared" si="29"/>
        <v>0</v>
      </c>
      <c r="K92" s="84">
        <f t="shared" si="27"/>
        <v>0</v>
      </c>
    </row>
    <row r="93" spans="1:12" ht="40.5" x14ac:dyDescent="0.35">
      <c r="A93" s="56">
        <v>63</v>
      </c>
      <c r="B93" s="87" t="s">
        <v>153</v>
      </c>
      <c r="C93" s="89" t="s">
        <v>14</v>
      </c>
      <c r="D93" s="91">
        <f>ROUNDDOWN(D20*0.15,0)</f>
        <v>7</v>
      </c>
      <c r="E93" s="91"/>
      <c r="F93" s="84">
        <f t="shared" si="26"/>
        <v>0</v>
      </c>
      <c r="G93" s="91"/>
      <c r="H93" s="84">
        <f t="shared" si="28"/>
        <v>0</v>
      </c>
      <c r="I93" s="91"/>
      <c r="J93" s="84">
        <f t="shared" si="29"/>
        <v>0</v>
      </c>
      <c r="K93" s="84">
        <f t="shared" si="27"/>
        <v>0</v>
      </c>
    </row>
    <row r="94" spans="1:12" ht="54" x14ac:dyDescent="0.35">
      <c r="A94" s="56">
        <v>64</v>
      </c>
      <c r="B94" s="87" t="s">
        <v>133</v>
      </c>
      <c r="C94" s="89" t="s">
        <v>14</v>
      </c>
      <c r="D94" s="91">
        <f>ROUNDDOWN(D21*0.15,0)</f>
        <v>9</v>
      </c>
      <c r="E94" s="91"/>
      <c r="F94" s="84">
        <f t="shared" si="26"/>
        <v>0</v>
      </c>
      <c r="G94" s="91"/>
      <c r="H94" s="84">
        <f t="shared" si="28"/>
        <v>0</v>
      </c>
      <c r="I94" s="91"/>
      <c r="J94" s="84">
        <f t="shared" si="29"/>
        <v>0</v>
      </c>
      <c r="K94" s="84">
        <f t="shared" si="27"/>
        <v>0</v>
      </c>
    </row>
    <row r="95" spans="1:12" x14ac:dyDescent="0.35">
      <c r="A95" s="56">
        <v>65</v>
      </c>
      <c r="B95" s="87" t="s">
        <v>83</v>
      </c>
      <c r="C95" s="89" t="s">
        <v>14</v>
      </c>
      <c r="D95" s="91">
        <v>53</v>
      </c>
      <c r="E95" s="91"/>
      <c r="F95" s="84">
        <f t="shared" si="26"/>
        <v>0</v>
      </c>
      <c r="G95" s="91"/>
      <c r="H95" s="84">
        <f t="shared" si="28"/>
        <v>0</v>
      </c>
      <c r="I95" s="91"/>
      <c r="J95" s="84">
        <f t="shared" si="29"/>
        <v>0</v>
      </c>
      <c r="K95" s="84">
        <f t="shared" si="27"/>
        <v>0</v>
      </c>
    </row>
    <row r="96" spans="1:12" x14ac:dyDescent="0.35">
      <c r="A96" s="56">
        <v>66</v>
      </c>
      <c r="B96" s="87" t="s">
        <v>66</v>
      </c>
      <c r="C96" s="89" t="s">
        <v>14</v>
      </c>
      <c r="D96" s="91">
        <v>53</v>
      </c>
      <c r="E96" s="91"/>
      <c r="F96" s="84">
        <f t="shared" si="26"/>
        <v>0</v>
      </c>
      <c r="G96" s="91"/>
      <c r="H96" s="84">
        <f t="shared" si="28"/>
        <v>0</v>
      </c>
      <c r="I96" s="91"/>
      <c r="J96" s="84">
        <f t="shared" si="29"/>
        <v>0</v>
      </c>
      <c r="K96" s="84">
        <f t="shared" si="27"/>
        <v>0</v>
      </c>
    </row>
    <row r="97" spans="1:11" ht="27" x14ac:dyDescent="0.35">
      <c r="A97" s="56">
        <v>67</v>
      </c>
      <c r="B97" s="87" t="s">
        <v>132</v>
      </c>
      <c r="C97" s="89" t="s">
        <v>14</v>
      </c>
      <c r="D97" s="91">
        <v>1</v>
      </c>
      <c r="E97" s="91"/>
      <c r="F97" s="84">
        <f t="shared" si="26"/>
        <v>0</v>
      </c>
      <c r="G97" s="91"/>
      <c r="H97" s="84">
        <f t="shared" si="28"/>
        <v>0</v>
      </c>
      <c r="I97" s="91"/>
      <c r="J97" s="84">
        <f t="shared" si="29"/>
        <v>0</v>
      </c>
      <c r="K97" s="84">
        <f t="shared" si="27"/>
        <v>0</v>
      </c>
    </row>
    <row r="98" spans="1:11" ht="27" x14ac:dyDescent="0.35">
      <c r="A98" s="56">
        <v>68</v>
      </c>
      <c r="B98" s="87" t="s">
        <v>154</v>
      </c>
      <c r="C98" s="89" t="s">
        <v>14</v>
      </c>
      <c r="D98" s="91">
        <v>12</v>
      </c>
      <c r="E98" s="91"/>
      <c r="F98" s="84">
        <f t="shared" si="26"/>
        <v>0</v>
      </c>
      <c r="G98" s="91"/>
      <c r="H98" s="84">
        <f t="shared" si="28"/>
        <v>0</v>
      </c>
      <c r="I98" s="91"/>
      <c r="J98" s="84">
        <f t="shared" si="29"/>
        <v>0</v>
      </c>
      <c r="K98" s="84">
        <f t="shared" si="27"/>
        <v>0</v>
      </c>
    </row>
    <row r="99" spans="1:11" x14ac:dyDescent="0.35">
      <c r="A99" s="56"/>
      <c r="B99" s="87" t="s">
        <v>64</v>
      </c>
      <c r="C99" s="89" t="s">
        <v>14</v>
      </c>
      <c r="D99" s="91">
        <v>240</v>
      </c>
      <c r="E99" s="91"/>
      <c r="F99" s="84">
        <f t="shared" si="26"/>
        <v>0</v>
      </c>
      <c r="G99" s="91"/>
      <c r="H99" s="84"/>
      <c r="I99" s="91"/>
      <c r="J99" s="84"/>
      <c r="K99" s="84">
        <f t="shared" si="27"/>
        <v>0</v>
      </c>
    </row>
    <row r="100" spans="1:11" x14ac:dyDescent="0.35">
      <c r="A100" s="56"/>
      <c r="B100" s="57" t="s">
        <v>155</v>
      </c>
      <c r="C100" s="89"/>
      <c r="D100" s="91"/>
      <c r="E100" s="91"/>
      <c r="F100" s="84"/>
      <c r="G100" s="91"/>
      <c r="H100" s="84"/>
      <c r="I100" s="91"/>
      <c r="J100" s="84"/>
      <c r="K100" s="84"/>
    </row>
    <row r="101" spans="1:11" x14ac:dyDescent="0.35">
      <c r="A101" s="56">
        <v>78</v>
      </c>
      <c r="B101" s="73" t="s">
        <v>135</v>
      </c>
      <c r="C101" s="86" t="s">
        <v>104</v>
      </c>
      <c r="D101" s="60">
        <v>6</v>
      </c>
      <c r="E101" s="91"/>
      <c r="F101" s="84">
        <f t="shared" si="26"/>
        <v>0</v>
      </c>
      <c r="G101" s="91"/>
      <c r="H101" s="84">
        <f>G101*D101</f>
        <v>0</v>
      </c>
      <c r="I101" s="91"/>
      <c r="J101" s="84">
        <f>I101*D101</f>
        <v>0</v>
      </c>
      <c r="K101" s="84">
        <f t="shared" si="27"/>
        <v>0</v>
      </c>
    </row>
    <row r="102" spans="1:11" ht="27" x14ac:dyDescent="0.35">
      <c r="A102" s="56">
        <v>79</v>
      </c>
      <c r="B102" s="20" t="s">
        <v>156</v>
      </c>
      <c r="C102" s="86" t="s">
        <v>104</v>
      </c>
      <c r="D102" s="60">
        <v>7</v>
      </c>
      <c r="E102" s="91"/>
      <c r="F102" s="84">
        <f t="shared" si="26"/>
        <v>0</v>
      </c>
      <c r="G102" s="91"/>
      <c r="H102" s="84">
        <f>G102*D102</f>
        <v>0</v>
      </c>
      <c r="I102" s="91"/>
      <c r="J102" s="84">
        <f>I102*D102</f>
        <v>0</v>
      </c>
      <c r="K102" s="84">
        <f t="shared" si="27"/>
        <v>0</v>
      </c>
    </row>
    <row r="103" spans="1:11" x14ac:dyDescent="0.35">
      <c r="A103" s="56"/>
      <c r="B103" s="33" t="s">
        <v>34</v>
      </c>
      <c r="C103" s="89" t="s">
        <v>18</v>
      </c>
      <c r="D103" s="91">
        <f>(D102+D101)*0.5</f>
        <v>6.5</v>
      </c>
      <c r="E103" s="91"/>
      <c r="F103" s="84">
        <f t="shared" si="26"/>
        <v>0</v>
      </c>
      <c r="G103" s="91"/>
      <c r="H103" s="84"/>
      <c r="I103" s="91"/>
      <c r="J103" s="84"/>
      <c r="K103" s="84">
        <f t="shared" si="27"/>
        <v>0</v>
      </c>
    </row>
    <row r="104" spans="1:11" ht="18" customHeight="1" x14ac:dyDescent="0.35">
      <c r="A104" s="56"/>
      <c r="B104" s="57" t="s">
        <v>67</v>
      </c>
      <c r="C104" s="89"/>
      <c r="D104" s="91"/>
      <c r="E104" s="91"/>
      <c r="F104" s="84"/>
      <c r="G104" s="91"/>
      <c r="H104" s="84"/>
      <c r="I104" s="91"/>
      <c r="J104" s="84"/>
      <c r="K104" s="84"/>
    </row>
    <row r="105" spans="1:11" ht="15.75" customHeight="1" x14ac:dyDescent="0.35">
      <c r="A105" s="56">
        <v>80</v>
      </c>
      <c r="B105" s="18" t="s">
        <v>92</v>
      </c>
      <c r="C105" s="10" t="s">
        <v>14</v>
      </c>
      <c r="D105" s="58">
        <v>2</v>
      </c>
      <c r="E105" s="84"/>
      <c r="F105" s="84">
        <f t="shared" si="26"/>
        <v>0</v>
      </c>
      <c r="G105" s="84"/>
      <c r="H105" s="84">
        <f t="shared" si="28"/>
        <v>0</v>
      </c>
      <c r="I105" s="76"/>
      <c r="J105" s="84">
        <f t="shared" si="29"/>
        <v>0</v>
      </c>
      <c r="K105" s="84">
        <f t="shared" si="27"/>
        <v>0</v>
      </c>
    </row>
    <row r="106" spans="1:11" ht="15.75" customHeight="1" x14ac:dyDescent="0.35">
      <c r="A106" s="253"/>
      <c r="B106" s="51" t="s">
        <v>85</v>
      </c>
      <c r="C106" s="50" t="s">
        <v>37</v>
      </c>
      <c r="D106" s="58">
        <v>7</v>
      </c>
      <c r="E106" s="84"/>
      <c r="F106" s="84">
        <f t="shared" si="26"/>
        <v>0</v>
      </c>
      <c r="G106" s="84"/>
      <c r="H106" s="84">
        <f t="shared" si="28"/>
        <v>0</v>
      </c>
      <c r="I106" s="76"/>
      <c r="J106" s="84">
        <f t="shared" si="29"/>
        <v>0</v>
      </c>
      <c r="K106" s="84">
        <f t="shared" si="27"/>
        <v>0</v>
      </c>
    </row>
    <row r="107" spans="1:11" ht="15.75" customHeight="1" x14ac:dyDescent="0.35">
      <c r="A107" s="254"/>
      <c r="B107" s="49" t="s">
        <v>86</v>
      </c>
      <c r="C107" s="50" t="s">
        <v>37</v>
      </c>
      <c r="D107" s="58">
        <v>2</v>
      </c>
      <c r="E107" s="84"/>
      <c r="F107" s="84">
        <f t="shared" si="26"/>
        <v>0</v>
      </c>
      <c r="G107" s="84"/>
      <c r="H107" s="84">
        <f t="shared" si="28"/>
        <v>0</v>
      </c>
      <c r="I107" s="76"/>
      <c r="J107" s="84">
        <f t="shared" si="29"/>
        <v>0</v>
      </c>
      <c r="K107" s="84">
        <f t="shared" si="27"/>
        <v>0</v>
      </c>
    </row>
    <row r="108" spans="1:11" ht="15.75" customHeight="1" x14ac:dyDescent="0.35">
      <c r="A108" s="254"/>
      <c r="B108" s="49" t="s">
        <v>87</v>
      </c>
      <c r="C108" s="50" t="s">
        <v>37</v>
      </c>
      <c r="D108" s="58">
        <v>2</v>
      </c>
      <c r="E108" s="84"/>
      <c r="F108" s="84">
        <f t="shared" si="26"/>
        <v>0</v>
      </c>
      <c r="G108" s="84"/>
      <c r="H108" s="84">
        <f t="shared" si="28"/>
        <v>0</v>
      </c>
      <c r="I108" s="76"/>
      <c r="J108" s="84">
        <f t="shared" si="29"/>
        <v>0</v>
      </c>
      <c r="K108" s="84">
        <f t="shared" si="27"/>
        <v>0</v>
      </c>
    </row>
    <row r="109" spans="1:11" ht="15.75" customHeight="1" x14ac:dyDescent="0.35">
      <c r="A109" s="254"/>
      <c r="B109" s="49" t="s">
        <v>88</v>
      </c>
      <c r="C109" s="50" t="s">
        <v>37</v>
      </c>
      <c r="D109" s="58">
        <v>8</v>
      </c>
      <c r="E109" s="91"/>
      <c r="F109" s="84">
        <f t="shared" si="26"/>
        <v>0</v>
      </c>
      <c r="G109" s="91"/>
      <c r="H109" s="84">
        <f t="shared" si="28"/>
        <v>0</v>
      </c>
      <c r="I109" s="77"/>
      <c r="J109" s="84">
        <f t="shared" si="29"/>
        <v>0</v>
      </c>
      <c r="K109" s="84">
        <f t="shared" si="27"/>
        <v>0</v>
      </c>
    </row>
    <row r="110" spans="1:11" ht="15.75" customHeight="1" x14ac:dyDescent="0.35">
      <c r="A110" s="254"/>
      <c r="B110" s="49" t="s">
        <v>89</v>
      </c>
      <c r="C110" s="50" t="s">
        <v>37</v>
      </c>
      <c r="D110" s="58">
        <v>2</v>
      </c>
      <c r="E110" s="91"/>
      <c r="F110" s="84">
        <f t="shared" si="26"/>
        <v>0</v>
      </c>
      <c r="G110" s="91"/>
      <c r="H110" s="84">
        <f t="shared" si="28"/>
        <v>0</v>
      </c>
      <c r="I110" s="77"/>
      <c r="J110" s="84">
        <f t="shared" si="29"/>
        <v>0</v>
      </c>
      <c r="K110" s="84">
        <f t="shared" si="27"/>
        <v>0</v>
      </c>
    </row>
    <row r="111" spans="1:11" ht="15.75" customHeight="1" x14ac:dyDescent="0.35">
      <c r="A111" s="254"/>
      <c r="B111" s="49" t="s">
        <v>90</v>
      </c>
      <c r="C111" s="50" t="s">
        <v>37</v>
      </c>
      <c r="D111" s="58">
        <v>16</v>
      </c>
      <c r="E111" s="84"/>
      <c r="F111" s="84">
        <f t="shared" si="26"/>
        <v>0</v>
      </c>
      <c r="G111" s="84"/>
      <c r="H111" s="84">
        <f t="shared" si="28"/>
        <v>0</v>
      </c>
      <c r="I111" s="76"/>
      <c r="J111" s="84">
        <f t="shared" si="29"/>
        <v>0</v>
      </c>
      <c r="K111" s="84">
        <f t="shared" si="27"/>
        <v>0</v>
      </c>
    </row>
    <row r="112" spans="1:11" ht="15.75" customHeight="1" x14ac:dyDescent="0.35">
      <c r="A112" s="255"/>
      <c r="B112" s="49" t="s">
        <v>91</v>
      </c>
      <c r="C112" s="50" t="s">
        <v>37</v>
      </c>
      <c r="D112" s="58">
        <v>24</v>
      </c>
      <c r="E112" s="84"/>
      <c r="F112" s="84">
        <f t="shared" si="26"/>
        <v>0</v>
      </c>
      <c r="G112" s="84"/>
      <c r="H112" s="84">
        <f t="shared" si="28"/>
        <v>0</v>
      </c>
      <c r="I112" s="76"/>
      <c r="J112" s="84">
        <f t="shared" si="29"/>
        <v>0</v>
      </c>
      <c r="K112" s="84">
        <f t="shared" si="27"/>
        <v>0</v>
      </c>
    </row>
    <row r="113" spans="1:11" ht="15.75" customHeight="1" x14ac:dyDescent="0.35">
      <c r="A113" s="56">
        <v>81</v>
      </c>
      <c r="B113" s="52" t="s">
        <v>93</v>
      </c>
      <c r="C113" s="53" t="s">
        <v>15</v>
      </c>
      <c r="D113" s="78">
        <v>150</v>
      </c>
      <c r="E113" s="91"/>
      <c r="F113" s="84">
        <f t="shared" si="26"/>
        <v>0</v>
      </c>
      <c r="G113" s="91"/>
      <c r="H113" s="84">
        <f t="shared" si="28"/>
        <v>0</v>
      </c>
      <c r="I113" s="91"/>
      <c r="J113" s="84">
        <f t="shared" si="29"/>
        <v>0</v>
      </c>
      <c r="K113" s="84">
        <f t="shared" si="27"/>
        <v>0</v>
      </c>
    </row>
    <row r="114" spans="1:11" ht="27" x14ac:dyDescent="0.35">
      <c r="A114" s="56">
        <v>82</v>
      </c>
      <c r="B114" s="85" t="s">
        <v>38</v>
      </c>
      <c r="C114" s="27" t="s">
        <v>15</v>
      </c>
      <c r="D114" s="84">
        <v>450</v>
      </c>
      <c r="E114" s="84"/>
      <c r="F114" s="84">
        <f t="shared" si="26"/>
        <v>0</v>
      </c>
      <c r="G114" s="84"/>
      <c r="H114" s="84">
        <f t="shared" si="28"/>
        <v>0</v>
      </c>
      <c r="I114" s="84"/>
      <c r="J114" s="84">
        <f t="shared" si="29"/>
        <v>0</v>
      </c>
      <c r="K114" s="84">
        <f t="shared" si="27"/>
        <v>0</v>
      </c>
    </row>
    <row r="115" spans="1:11" ht="27" x14ac:dyDescent="0.35">
      <c r="A115" s="56">
        <v>83</v>
      </c>
      <c r="B115" s="85" t="s">
        <v>39</v>
      </c>
      <c r="C115" s="27" t="s">
        <v>15</v>
      </c>
      <c r="D115" s="84">
        <v>500</v>
      </c>
      <c r="E115" s="84"/>
      <c r="F115" s="84">
        <f t="shared" si="26"/>
        <v>0</v>
      </c>
      <c r="G115" s="84"/>
      <c r="H115" s="84">
        <f t="shared" si="28"/>
        <v>0</v>
      </c>
      <c r="I115" s="84"/>
      <c r="J115" s="84">
        <f t="shared" si="29"/>
        <v>0</v>
      </c>
      <c r="K115" s="84">
        <f t="shared" si="27"/>
        <v>0</v>
      </c>
    </row>
    <row r="116" spans="1:11" x14ac:dyDescent="0.35">
      <c r="A116" s="56">
        <v>84</v>
      </c>
      <c r="B116" s="28" t="s">
        <v>40</v>
      </c>
      <c r="C116" s="27" t="s">
        <v>14</v>
      </c>
      <c r="D116" s="84">
        <v>290</v>
      </c>
      <c r="E116" s="84"/>
      <c r="F116" s="84">
        <f t="shared" si="26"/>
        <v>0</v>
      </c>
      <c r="G116" s="84"/>
      <c r="H116" s="84">
        <f t="shared" si="28"/>
        <v>0</v>
      </c>
      <c r="I116" s="84"/>
      <c r="J116" s="84">
        <f t="shared" si="29"/>
        <v>0</v>
      </c>
      <c r="K116" s="84">
        <f t="shared" si="27"/>
        <v>0</v>
      </c>
    </row>
    <row r="117" spans="1:11" x14ac:dyDescent="0.35">
      <c r="A117" s="56">
        <v>85</v>
      </c>
      <c r="B117" s="85" t="s">
        <v>41</v>
      </c>
      <c r="C117" s="10" t="s">
        <v>14</v>
      </c>
      <c r="D117" s="84">
        <v>108</v>
      </c>
      <c r="E117" s="84"/>
      <c r="F117" s="84">
        <f t="shared" si="26"/>
        <v>0</v>
      </c>
      <c r="G117" s="84"/>
      <c r="H117" s="84">
        <f t="shared" si="28"/>
        <v>0</v>
      </c>
      <c r="I117" s="84"/>
      <c r="J117" s="84">
        <f t="shared" si="29"/>
        <v>0</v>
      </c>
      <c r="K117" s="84">
        <f t="shared" si="27"/>
        <v>0</v>
      </c>
    </row>
    <row r="118" spans="1:11" x14ac:dyDescent="0.35">
      <c r="A118" s="56">
        <v>86</v>
      </c>
      <c r="B118" s="85" t="s">
        <v>42</v>
      </c>
      <c r="C118" s="10" t="s">
        <v>14</v>
      </c>
      <c r="D118" s="84">
        <v>18</v>
      </c>
      <c r="E118" s="84"/>
      <c r="F118" s="84">
        <f t="shared" si="26"/>
        <v>0</v>
      </c>
      <c r="G118" s="84"/>
      <c r="H118" s="84">
        <f t="shared" si="28"/>
        <v>0</v>
      </c>
      <c r="I118" s="84"/>
      <c r="J118" s="84">
        <f t="shared" si="29"/>
        <v>0</v>
      </c>
      <c r="K118" s="84">
        <f t="shared" si="27"/>
        <v>0</v>
      </c>
    </row>
    <row r="119" spans="1:11" ht="27" x14ac:dyDescent="0.35">
      <c r="A119" s="56">
        <v>87</v>
      </c>
      <c r="B119" s="87" t="s">
        <v>68</v>
      </c>
      <c r="C119" s="10" t="s">
        <v>14</v>
      </c>
      <c r="D119" s="84">
        <v>226</v>
      </c>
      <c r="E119" s="84"/>
      <c r="F119" s="84">
        <f t="shared" si="26"/>
        <v>0</v>
      </c>
      <c r="G119" s="84"/>
      <c r="H119" s="84">
        <f t="shared" si="28"/>
        <v>0</v>
      </c>
      <c r="I119" s="84"/>
      <c r="J119" s="84">
        <f t="shared" si="29"/>
        <v>0</v>
      </c>
      <c r="K119" s="84">
        <f t="shared" si="27"/>
        <v>0</v>
      </c>
    </row>
    <row r="120" spans="1:11" x14ac:dyDescent="0.35">
      <c r="A120" s="56">
        <v>88</v>
      </c>
      <c r="B120" s="45" t="s">
        <v>134</v>
      </c>
      <c r="C120" s="43" t="s">
        <v>35</v>
      </c>
      <c r="D120" s="15">
        <v>56</v>
      </c>
      <c r="E120" s="15"/>
      <c r="F120" s="15">
        <f t="shared" si="26"/>
        <v>0</v>
      </c>
      <c r="G120" s="15"/>
      <c r="H120" s="44">
        <f t="shared" si="28"/>
        <v>0</v>
      </c>
      <c r="I120" s="15"/>
      <c r="J120" s="75">
        <f t="shared" si="29"/>
        <v>0</v>
      </c>
      <c r="K120" s="44">
        <f t="shared" si="27"/>
        <v>0</v>
      </c>
    </row>
    <row r="121" spans="1:11" x14ac:dyDescent="0.35">
      <c r="A121" s="56"/>
      <c r="B121" s="33" t="s">
        <v>17</v>
      </c>
      <c r="C121" s="89" t="s">
        <v>18</v>
      </c>
      <c r="D121" s="91">
        <f>(D114+D115+D116+D117+D118+D119+D120)*0.08</f>
        <v>131.84</v>
      </c>
      <c r="E121" s="91"/>
      <c r="F121" s="84">
        <f t="shared" si="26"/>
        <v>0</v>
      </c>
      <c r="G121" s="91"/>
      <c r="H121" s="84"/>
      <c r="I121" s="91"/>
      <c r="J121" s="84"/>
      <c r="K121" s="84">
        <f t="shared" si="27"/>
        <v>0</v>
      </c>
    </row>
    <row r="122" spans="1:11" x14ac:dyDescent="0.35">
      <c r="A122" s="56"/>
      <c r="B122" s="54" t="s">
        <v>99</v>
      </c>
      <c r="C122" s="89"/>
      <c r="D122" s="91"/>
      <c r="E122" s="91"/>
      <c r="F122" s="84"/>
      <c r="G122" s="91"/>
      <c r="H122" s="84"/>
      <c r="I122" s="91"/>
      <c r="J122" s="84"/>
      <c r="K122" s="84"/>
    </row>
    <row r="123" spans="1:11" ht="27" x14ac:dyDescent="0.35">
      <c r="A123" s="86">
        <v>89</v>
      </c>
      <c r="B123" s="85" t="s">
        <v>140</v>
      </c>
      <c r="C123" s="10" t="s">
        <v>136</v>
      </c>
      <c r="D123" s="84">
        <v>120</v>
      </c>
      <c r="E123" s="84"/>
      <c r="F123" s="84">
        <f>E123*D123</f>
        <v>0</v>
      </c>
      <c r="G123" s="84"/>
      <c r="H123" s="84">
        <f>G123*D123</f>
        <v>0</v>
      </c>
      <c r="I123" s="84"/>
      <c r="J123" s="84">
        <f>I123*D123</f>
        <v>0</v>
      </c>
      <c r="K123" s="84">
        <f>J123+H123+F123</f>
        <v>0</v>
      </c>
    </row>
    <row r="124" spans="1:11" x14ac:dyDescent="0.35">
      <c r="A124" s="86">
        <v>90</v>
      </c>
      <c r="B124" s="85" t="s">
        <v>137</v>
      </c>
      <c r="C124" s="10" t="s">
        <v>35</v>
      </c>
      <c r="D124" s="84">
        <v>2</v>
      </c>
      <c r="E124" s="84"/>
      <c r="F124" s="84">
        <f t="shared" ref="F124:F126" si="30">E124*D124</f>
        <v>0</v>
      </c>
      <c r="G124" s="84"/>
      <c r="H124" s="84">
        <f t="shared" ref="H124:H125" si="31">G124*D124</f>
        <v>0</v>
      </c>
      <c r="I124" s="84"/>
      <c r="J124" s="84">
        <f t="shared" ref="J124:J125" si="32">I124*D124</f>
        <v>0</v>
      </c>
      <c r="K124" s="84">
        <f t="shared" ref="K124:K125" si="33">J124+H124+F124</f>
        <v>0</v>
      </c>
    </row>
    <row r="125" spans="1:11" ht="27" x14ac:dyDescent="0.35">
      <c r="A125" s="86">
        <v>91</v>
      </c>
      <c r="B125" s="85" t="s">
        <v>138</v>
      </c>
      <c r="C125" s="10" t="s">
        <v>14</v>
      </c>
      <c r="D125" s="84">
        <v>4</v>
      </c>
      <c r="E125" s="84"/>
      <c r="F125" s="84">
        <f t="shared" si="30"/>
        <v>0</v>
      </c>
      <c r="G125" s="84"/>
      <c r="H125" s="84">
        <f t="shared" si="31"/>
        <v>0</v>
      </c>
      <c r="I125" s="84"/>
      <c r="J125" s="84">
        <f t="shared" si="32"/>
        <v>0</v>
      </c>
      <c r="K125" s="84">
        <f t="shared" si="33"/>
        <v>0</v>
      </c>
    </row>
    <row r="126" spans="1:11" x14ac:dyDescent="0.35">
      <c r="A126" s="86"/>
      <c r="B126" s="85" t="s">
        <v>34</v>
      </c>
      <c r="C126" s="10" t="s">
        <v>139</v>
      </c>
      <c r="D126" s="84">
        <f>D123*0.1</f>
        <v>12</v>
      </c>
      <c r="E126" s="84"/>
      <c r="F126" s="84">
        <f t="shared" si="30"/>
        <v>0</v>
      </c>
      <c r="G126" s="84"/>
      <c r="H126" s="84"/>
      <c r="I126" s="84"/>
      <c r="J126" s="84"/>
      <c r="K126" s="84">
        <f>F126</f>
        <v>0</v>
      </c>
    </row>
    <row r="127" spans="1:11" x14ac:dyDescent="0.35">
      <c r="A127" s="56">
        <v>102</v>
      </c>
      <c r="B127" s="20" t="s">
        <v>31</v>
      </c>
      <c r="C127" s="59" t="s">
        <v>181</v>
      </c>
      <c r="D127" s="60">
        <v>10</v>
      </c>
      <c r="E127" s="84"/>
      <c r="F127" s="84"/>
      <c r="G127" s="84"/>
      <c r="H127" s="84">
        <f t="shared" ref="H127:H128" si="34">G127*D127</f>
        <v>0</v>
      </c>
      <c r="I127" s="84"/>
      <c r="J127" s="84">
        <f t="shared" ref="J127:J128" si="35">I127*D127</f>
        <v>0</v>
      </c>
      <c r="K127" s="84">
        <f t="shared" ref="K127:K128" si="36">J127+H127+F127</f>
        <v>0</v>
      </c>
    </row>
    <row r="128" spans="1:11" x14ac:dyDescent="0.35">
      <c r="A128" s="56">
        <v>103</v>
      </c>
      <c r="B128" s="20" t="s">
        <v>32</v>
      </c>
      <c r="C128" s="59" t="s">
        <v>30</v>
      </c>
      <c r="D128" s="60">
        <f>D127*1.3</f>
        <v>13</v>
      </c>
      <c r="E128" s="84"/>
      <c r="F128" s="84"/>
      <c r="G128" s="84"/>
      <c r="H128" s="84">
        <f t="shared" si="34"/>
        <v>0</v>
      </c>
      <c r="I128" s="84"/>
      <c r="J128" s="84">
        <f t="shared" si="35"/>
        <v>0</v>
      </c>
      <c r="K128" s="84">
        <f t="shared" si="36"/>
        <v>0</v>
      </c>
    </row>
    <row r="129" spans="1:11" x14ac:dyDescent="0.35">
      <c r="A129" s="256"/>
      <c r="B129" s="10" t="s">
        <v>11</v>
      </c>
      <c r="C129" s="24"/>
      <c r="D129" s="84"/>
      <c r="E129" s="84"/>
      <c r="F129" s="29">
        <f>SUM(F11:F128)</f>
        <v>0</v>
      </c>
      <c r="G129" s="29"/>
      <c r="H129" s="29">
        <f>SUM(H11:H128)</f>
        <v>0</v>
      </c>
      <c r="I129" s="29"/>
      <c r="J129" s="29">
        <f>SUM(J11:J128)</f>
        <v>0</v>
      </c>
      <c r="K129" s="80">
        <f>SUM(K11:K128)</f>
        <v>0</v>
      </c>
    </row>
    <row r="130" spans="1:11" x14ac:dyDescent="0.35">
      <c r="A130" s="257"/>
      <c r="B130" s="13" t="s">
        <v>20</v>
      </c>
      <c r="C130" s="26" t="s">
        <v>309</v>
      </c>
      <c r="D130" s="15"/>
      <c r="E130" s="14"/>
      <c r="F130" s="81"/>
      <c r="G130" s="81"/>
      <c r="H130" s="81"/>
      <c r="I130" s="81"/>
      <c r="J130" s="81"/>
      <c r="K130" s="81" t="e">
        <f>K129*C130</f>
        <v>#VALUE!</v>
      </c>
    </row>
    <row r="131" spans="1:11" x14ac:dyDescent="0.35">
      <c r="A131" s="257"/>
      <c r="B131" s="19" t="s">
        <v>11</v>
      </c>
      <c r="C131" s="25"/>
      <c r="D131" s="15"/>
      <c r="E131" s="14"/>
      <c r="F131" s="81"/>
      <c r="G131" s="81"/>
      <c r="H131" s="81"/>
      <c r="I131" s="81"/>
      <c r="J131" s="81"/>
      <c r="K131" s="81" t="e">
        <f>K130+K129</f>
        <v>#VALUE!</v>
      </c>
    </row>
    <row r="132" spans="1:11" x14ac:dyDescent="0.35">
      <c r="A132" s="257"/>
      <c r="B132" s="13" t="s">
        <v>21</v>
      </c>
      <c r="C132" s="26" t="s">
        <v>309</v>
      </c>
      <c r="D132" s="15"/>
      <c r="E132" s="14"/>
      <c r="F132" s="81"/>
      <c r="G132" s="81"/>
      <c r="H132" s="81"/>
      <c r="I132" s="81"/>
      <c r="J132" s="81"/>
      <c r="K132" s="81" t="e">
        <f>K131*C132</f>
        <v>#VALUE!</v>
      </c>
    </row>
    <row r="133" spans="1:11" x14ac:dyDescent="0.35">
      <c r="A133" s="257"/>
      <c r="B133" s="19" t="s">
        <v>11</v>
      </c>
      <c r="C133" s="25"/>
      <c r="D133" s="15"/>
      <c r="E133" s="14"/>
      <c r="F133" s="81"/>
      <c r="G133" s="81"/>
      <c r="H133" s="81"/>
      <c r="I133" s="81"/>
      <c r="J133" s="81"/>
      <c r="K133" s="81" t="e">
        <f>SUM(K131:K132)</f>
        <v>#VALUE!</v>
      </c>
    </row>
    <row r="134" spans="1:11" x14ac:dyDescent="0.35">
      <c r="A134" s="257"/>
      <c r="B134" s="13" t="s">
        <v>22</v>
      </c>
      <c r="C134" s="26" t="s">
        <v>309</v>
      </c>
      <c r="D134" s="15"/>
      <c r="E134" s="14"/>
      <c r="F134" s="81"/>
      <c r="G134" s="81"/>
      <c r="H134" s="81"/>
      <c r="I134" s="81"/>
      <c r="J134" s="81"/>
      <c r="K134" s="81" t="e">
        <f>K133*C134</f>
        <v>#VALUE!</v>
      </c>
    </row>
    <row r="135" spans="1:11" x14ac:dyDescent="0.35">
      <c r="A135" s="257"/>
      <c r="B135" s="19" t="s">
        <v>11</v>
      </c>
      <c r="C135" s="25"/>
      <c r="D135" s="15"/>
      <c r="E135" s="14"/>
      <c r="F135" s="81"/>
      <c r="G135" s="81"/>
      <c r="H135" s="81"/>
      <c r="I135" s="81"/>
      <c r="J135" s="81"/>
      <c r="K135" s="81" t="e">
        <f>SUM(K133:K134)</f>
        <v>#VALUE!</v>
      </c>
    </row>
    <row r="136" spans="1:11" x14ac:dyDescent="0.35">
      <c r="A136" s="257"/>
      <c r="B136" s="13" t="s">
        <v>25</v>
      </c>
      <c r="C136" s="26" t="s">
        <v>309</v>
      </c>
      <c r="D136" s="15"/>
      <c r="E136" s="14"/>
      <c r="F136" s="81"/>
      <c r="G136" s="81"/>
      <c r="H136" s="81"/>
      <c r="I136" s="81"/>
      <c r="J136" s="81"/>
      <c r="K136" s="81" t="e">
        <f>K135*C136</f>
        <v>#VALUE!</v>
      </c>
    </row>
    <row r="137" spans="1:11" x14ac:dyDescent="0.35">
      <c r="A137" s="257"/>
      <c r="B137" s="13" t="s">
        <v>43</v>
      </c>
      <c r="C137" s="26" t="s">
        <v>309</v>
      </c>
      <c r="D137" s="15"/>
      <c r="E137" s="14"/>
      <c r="F137" s="81"/>
      <c r="G137" s="81"/>
      <c r="H137" s="81"/>
      <c r="I137" s="81"/>
      <c r="J137" s="81"/>
      <c r="K137" s="81" t="e">
        <f>H129*C137</f>
        <v>#VALUE!</v>
      </c>
    </row>
    <row r="138" spans="1:11" x14ac:dyDescent="0.35">
      <c r="A138" s="257"/>
      <c r="B138" s="19" t="s">
        <v>11</v>
      </c>
      <c r="C138" s="25"/>
      <c r="D138" s="15"/>
      <c r="E138" s="14"/>
      <c r="F138" s="81"/>
      <c r="G138" s="81"/>
      <c r="H138" s="81"/>
      <c r="I138" s="81"/>
      <c r="J138" s="81"/>
      <c r="K138" s="81" t="e">
        <f>K137+K136+K135</f>
        <v>#VALUE!</v>
      </c>
    </row>
    <row r="139" spans="1:11" x14ac:dyDescent="0.35">
      <c r="A139" s="257"/>
      <c r="B139" s="11" t="s">
        <v>23</v>
      </c>
      <c r="C139" s="26">
        <v>0.18</v>
      </c>
      <c r="D139" s="15"/>
      <c r="E139" s="14"/>
      <c r="F139" s="81"/>
      <c r="G139" s="81"/>
      <c r="H139" s="81"/>
      <c r="I139" s="81"/>
      <c r="J139" s="81"/>
      <c r="K139" s="81" t="e">
        <f>K138*C139</f>
        <v>#VALUE!</v>
      </c>
    </row>
    <row r="140" spans="1:11" x14ac:dyDescent="0.35">
      <c r="A140" s="258"/>
      <c r="B140" s="12" t="s">
        <v>24</v>
      </c>
      <c r="C140" s="8"/>
      <c r="D140" s="10"/>
      <c r="E140" s="10"/>
      <c r="F140" s="79"/>
      <c r="G140" s="79"/>
      <c r="H140" s="79"/>
      <c r="I140" s="79"/>
      <c r="J140" s="79"/>
      <c r="K140" s="29" t="e">
        <f>K139+K138</f>
        <v>#VALUE!</v>
      </c>
    </row>
  </sheetData>
  <autoFilter ref="A10:L140" xr:uid="{00000000-0001-0000-0200-000000000000}"/>
  <mergeCells count="24">
    <mergeCell ref="A81:A89"/>
    <mergeCell ref="A106:A112"/>
    <mergeCell ref="A129:A140"/>
    <mergeCell ref="A36:A41"/>
    <mergeCell ref="A42:A46"/>
    <mergeCell ref="A48:A52"/>
    <mergeCell ref="A53:A56"/>
    <mergeCell ref="A58:A63"/>
    <mergeCell ref="A71:A75"/>
    <mergeCell ref="I6:J6"/>
    <mergeCell ref="K6:K7"/>
    <mergeCell ref="E6:F6"/>
    <mergeCell ref="G6:H6"/>
    <mergeCell ref="A33:A35"/>
    <mergeCell ref="A6:A7"/>
    <mergeCell ref="B6:B7"/>
    <mergeCell ref="C6:C7"/>
    <mergeCell ref="D6:D7"/>
    <mergeCell ref="B1:I1"/>
    <mergeCell ref="J1:K1"/>
    <mergeCell ref="B2:K3"/>
    <mergeCell ref="A4:K4"/>
    <mergeCell ref="E5:H5"/>
    <mergeCell ref="I5:J5"/>
  </mergeCells>
  <conditionalFormatting sqref="D113">
    <cfRule type="cellIs" dxfId="7" priority="2" operator="equal">
      <formula>0</formula>
    </cfRule>
  </conditionalFormatting>
  <conditionalFormatting sqref="D120">
    <cfRule type="cellIs" dxfId="6" priority="1" operator="equal">
      <formula>0</formula>
    </cfRule>
  </conditionalFormatting>
  <pageMargins left="0.45" right="0.45" top="0.5" bottom="0.5" header="0.3" footer="0.3"/>
  <pageSetup scale="78" orientation="landscape" horizontalDpi="4294967295" verticalDpi="4294967295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12EC8-8D7C-4EC8-8719-8693C0A866EC}">
  <dimension ref="A1:N175"/>
  <sheetViews>
    <sheetView zoomScale="85" zoomScaleNormal="85" workbookViewId="0">
      <pane ySplit="8" topLeftCell="A166" activePane="bottomLeft" state="frozen"/>
      <selection activeCell="J144" sqref="J144"/>
      <selection pane="bottomLeft" activeCell="E170" sqref="E170"/>
    </sheetView>
  </sheetViews>
  <sheetFormatPr defaultColWidth="8.90625" defaultRowHeight="14.5" x14ac:dyDescent="0.35"/>
  <cols>
    <col min="1" max="1" width="4.36328125" style="83" customWidth="1"/>
    <col min="2" max="2" width="65.54296875" style="83" customWidth="1"/>
    <col min="3" max="3" width="8.90625" style="83"/>
    <col min="4" max="4" width="10.453125" style="83" customWidth="1"/>
    <col min="5" max="5" width="8.90625" style="83"/>
    <col min="6" max="6" width="12" style="83" customWidth="1"/>
    <col min="7" max="7" width="8.90625" style="83"/>
    <col min="8" max="8" width="11.6328125" style="83" customWidth="1"/>
    <col min="9" max="9" width="13.1796875" style="83" customWidth="1"/>
    <col min="10" max="10" width="10.6328125" style="83" customWidth="1"/>
    <col min="11" max="11" width="13.453125" style="83" customWidth="1"/>
    <col min="12" max="12" width="39" style="138" customWidth="1"/>
    <col min="13" max="13" width="14.36328125" style="83" customWidth="1"/>
    <col min="14" max="16384" width="8.90625" style="83"/>
  </cols>
  <sheetData>
    <row r="1" spans="1:14" ht="23.25" customHeight="1" x14ac:dyDescent="0.4">
      <c r="A1" s="7"/>
      <c r="B1" s="231" t="s">
        <v>97</v>
      </c>
      <c r="C1" s="231"/>
      <c r="D1" s="231"/>
      <c r="E1" s="231"/>
      <c r="F1" s="231"/>
      <c r="G1" s="231"/>
      <c r="H1" s="231"/>
      <c r="I1" s="231"/>
      <c r="J1" s="232" t="s">
        <v>69</v>
      </c>
      <c r="K1" s="233"/>
      <c r="L1" s="83"/>
    </row>
    <row r="2" spans="1:14" ht="16" x14ac:dyDescent="0.35">
      <c r="A2" s="21"/>
      <c r="B2" s="234" t="s">
        <v>141</v>
      </c>
      <c r="C2" s="234"/>
      <c r="D2" s="234"/>
      <c r="E2" s="234"/>
      <c r="F2" s="234"/>
      <c r="G2" s="234"/>
      <c r="H2" s="234"/>
      <c r="I2" s="234"/>
      <c r="J2" s="234"/>
      <c r="K2" s="234"/>
      <c r="L2" s="83"/>
    </row>
    <row r="3" spans="1:14" ht="16" x14ac:dyDescent="0.35">
      <c r="A3" s="21"/>
      <c r="B3" s="234"/>
      <c r="C3" s="234"/>
      <c r="D3" s="234"/>
      <c r="E3" s="234"/>
      <c r="F3" s="234"/>
      <c r="G3" s="234"/>
      <c r="H3" s="234"/>
      <c r="I3" s="234"/>
      <c r="J3" s="234"/>
      <c r="K3" s="234"/>
    </row>
    <row r="4" spans="1:14" ht="16" x14ac:dyDescent="0.4">
      <c r="A4" s="235" t="s">
        <v>98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</row>
    <row r="5" spans="1:14" ht="16" x14ac:dyDescent="0.35">
      <c r="A5" s="16"/>
      <c r="B5" s="34" t="s">
        <v>192</v>
      </c>
      <c r="C5" s="17"/>
      <c r="D5" s="17"/>
      <c r="E5" s="236" t="s">
        <v>29</v>
      </c>
      <c r="F5" s="236"/>
      <c r="G5" s="236"/>
      <c r="H5" s="236"/>
      <c r="I5" s="156" t="e">
        <f>K175</f>
        <v>#VALUE!</v>
      </c>
      <c r="J5" s="157"/>
      <c r="K5" s="22" t="s">
        <v>18</v>
      </c>
    </row>
    <row r="6" spans="1:14" ht="27.75" customHeight="1" x14ac:dyDescent="0.35">
      <c r="A6" s="241" t="s">
        <v>33</v>
      </c>
      <c r="B6" s="241" t="s">
        <v>5</v>
      </c>
      <c r="C6" s="241" t="s">
        <v>6</v>
      </c>
      <c r="D6" s="248" t="s">
        <v>7</v>
      </c>
      <c r="E6" s="243" t="s">
        <v>8</v>
      </c>
      <c r="F6" s="244"/>
      <c r="G6" s="243" t="s">
        <v>9</v>
      </c>
      <c r="H6" s="244"/>
      <c r="I6" s="239" t="s">
        <v>10</v>
      </c>
      <c r="J6" s="240"/>
      <c r="K6" s="241" t="s">
        <v>11</v>
      </c>
      <c r="L6" s="138" t="s">
        <v>159</v>
      </c>
    </row>
    <row r="7" spans="1:14" x14ac:dyDescent="0.35">
      <c r="A7" s="242"/>
      <c r="B7" s="242"/>
      <c r="C7" s="242"/>
      <c r="D7" s="249"/>
      <c r="E7" s="48" t="s">
        <v>12</v>
      </c>
      <c r="F7" s="25" t="s">
        <v>11</v>
      </c>
      <c r="G7" s="48" t="s">
        <v>12</v>
      </c>
      <c r="H7" s="25" t="s">
        <v>11</v>
      </c>
      <c r="I7" s="48" t="s">
        <v>12</v>
      </c>
      <c r="J7" s="25" t="s">
        <v>11</v>
      </c>
      <c r="K7" s="242"/>
    </row>
    <row r="8" spans="1:14" x14ac:dyDescent="0.35">
      <c r="A8" s="46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7">
        <v>10</v>
      </c>
      <c r="K8" s="47">
        <v>11</v>
      </c>
    </row>
    <row r="9" spans="1:14" x14ac:dyDescent="0.35">
      <c r="A9" s="69"/>
      <c r="B9" s="70" t="s">
        <v>27</v>
      </c>
      <c r="C9" s="71"/>
      <c r="D9" s="71"/>
      <c r="E9" s="71"/>
      <c r="F9" s="71"/>
      <c r="G9" s="71"/>
      <c r="H9" s="71"/>
      <c r="I9" s="71"/>
      <c r="J9" s="71"/>
      <c r="K9" s="71"/>
    </row>
    <row r="10" spans="1:14" ht="27" x14ac:dyDescent="0.35">
      <c r="A10" s="56">
        <v>1</v>
      </c>
      <c r="B10" s="87" t="s">
        <v>204</v>
      </c>
      <c r="C10" s="24" t="s">
        <v>44</v>
      </c>
      <c r="D10" s="106">
        <v>280</v>
      </c>
      <c r="E10" s="84"/>
      <c r="F10" s="84"/>
      <c r="G10" s="84"/>
      <c r="H10" s="84">
        <f>G10*D10</f>
        <v>0</v>
      </c>
      <c r="I10" s="84"/>
      <c r="J10" s="84">
        <f>I10*D10</f>
        <v>0</v>
      </c>
      <c r="K10" s="84">
        <f>J10+H10+F10</f>
        <v>0</v>
      </c>
      <c r="L10" s="139"/>
    </row>
    <row r="11" spans="1:14" ht="27" x14ac:dyDescent="0.35">
      <c r="A11" s="56">
        <v>2</v>
      </c>
      <c r="B11" s="87" t="s">
        <v>142</v>
      </c>
      <c r="C11" s="24" t="s">
        <v>44</v>
      </c>
      <c r="D11" s="84">
        <v>84</v>
      </c>
      <c r="E11" s="84"/>
      <c r="F11" s="84"/>
      <c r="G11" s="84"/>
      <c r="H11" s="84">
        <f t="shared" ref="H11:H35" si="0">G11*D11</f>
        <v>0</v>
      </c>
      <c r="I11" s="84"/>
      <c r="J11" s="84">
        <f t="shared" ref="J11:J35" si="1">I11*D11</f>
        <v>0</v>
      </c>
      <c r="K11" s="84">
        <f t="shared" ref="K11:K35" si="2">J11+H11+F11</f>
        <v>0</v>
      </c>
    </row>
    <row r="12" spans="1:14" ht="60" customHeight="1" x14ac:dyDescent="0.35">
      <c r="A12" s="56">
        <v>3</v>
      </c>
      <c r="B12" s="85" t="s">
        <v>172</v>
      </c>
      <c r="C12" s="24" t="s">
        <v>44</v>
      </c>
      <c r="D12" s="84">
        <v>13</v>
      </c>
      <c r="E12" s="84"/>
      <c r="F12" s="84"/>
      <c r="G12" s="84"/>
      <c r="H12" s="84">
        <f t="shared" si="0"/>
        <v>0</v>
      </c>
      <c r="I12" s="84"/>
      <c r="J12" s="84">
        <f t="shared" si="1"/>
        <v>0</v>
      </c>
      <c r="K12" s="84">
        <f t="shared" si="2"/>
        <v>0</v>
      </c>
      <c r="L12" s="139" t="s">
        <v>198</v>
      </c>
      <c r="N12" s="147"/>
    </row>
    <row r="13" spans="1:14" ht="27" x14ac:dyDescent="0.35">
      <c r="A13" s="56">
        <v>4</v>
      </c>
      <c r="B13" s="85" t="s">
        <v>173</v>
      </c>
      <c r="C13" s="24" t="s">
        <v>44</v>
      </c>
      <c r="D13" s="106">
        <v>22</v>
      </c>
      <c r="E13" s="84"/>
      <c r="F13" s="84"/>
      <c r="G13" s="84"/>
      <c r="H13" s="84">
        <f t="shared" si="0"/>
        <v>0</v>
      </c>
      <c r="I13" s="84"/>
      <c r="J13" s="84">
        <f t="shared" si="1"/>
        <v>0</v>
      </c>
      <c r="K13" s="84">
        <f t="shared" si="2"/>
        <v>0</v>
      </c>
      <c r="L13" s="139"/>
    </row>
    <row r="14" spans="1:14" ht="40.5" x14ac:dyDescent="0.35">
      <c r="A14" s="56">
        <v>5</v>
      </c>
      <c r="B14" s="85" t="s">
        <v>205</v>
      </c>
      <c r="C14" s="24" t="s">
        <v>44</v>
      </c>
      <c r="D14" s="146">
        <v>164.2</v>
      </c>
      <c r="E14" s="84"/>
      <c r="F14" s="84"/>
      <c r="G14" s="84"/>
      <c r="H14" s="84">
        <f t="shared" si="0"/>
        <v>0</v>
      </c>
      <c r="I14" s="84"/>
      <c r="J14" s="84">
        <f t="shared" si="1"/>
        <v>0</v>
      </c>
      <c r="K14" s="84">
        <f t="shared" si="2"/>
        <v>0</v>
      </c>
      <c r="L14" s="139"/>
    </row>
    <row r="15" spans="1:14" s="154" customFormat="1" ht="29" x14ac:dyDescent="0.35">
      <c r="A15" s="149">
        <v>6</v>
      </c>
      <c r="B15" s="150" t="s">
        <v>176</v>
      </c>
      <c r="C15" s="151" t="s">
        <v>44</v>
      </c>
      <c r="D15" s="152">
        <f>84+25.5</f>
        <v>109.5</v>
      </c>
      <c r="E15" s="152"/>
      <c r="F15" s="152"/>
      <c r="G15" s="152"/>
      <c r="H15" s="152">
        <f t="shared" si="0"/>
        <v>0</v>
      </c>
      <c r="I15" s="152"/>
      <c r="J15" s="152">
        <f t="shared" si="1"/>
        <v>0</v>
      </c>
      <c r="K15" s="152">
        <f t="shared" si="2"/>
        <v>0</v>
      </c>
      <c r="L15" s="165" t="s">
        <v>199</v>
      </c>
    </row>
    <row r="16" spans="1:14" ht="27" x14ac:dyDescent="0.35">
      <c r="A16" s="56">
        <v>7</v>
      </c>
      <c r="B16" s="87" t="s">
        <v>191</v>
      </c>
      <c r="C16" s="24" t="s">
        <v>44</v>
      </c>
      <c r="D16" s="106">
        <v>34.15</v>
      </c>
      <c r="E16" s="84"/>
      <c r="F16" s="84"/>
      <c r="G16" s="84"/>
      <c r="H16" s="84">
        <f t="shared" si="0"/>
        <v>0</v>
      </c>
      <c r="I16" s="84"/>
      <c r="J16" s="84">
        <f t="shared" si="1"/>
        <v>0</v>
      </c>
      <c r="K16" s="84">
        <f t="shared" si="2"/>
        <v>0</v>
      </c>
      <c r="L16" s="139"/>
      <c r="N16" s="147"/>
    </row>
    <row r="17" spans="1:14" x14ac:dyDescent="0.35">
      <c r="A17" s="56">
        <v>9</v>
      </c>
      <c r="B17" s="87" t="s">
        <v>145</v>
      </c>
      <c r="C17" s="24" t="s">
        <v>15</v>
      </c>
      <c r="D17" s="106">
        <v>30</v>
      </c>
      <c r="E17" s="84"/>
      <c r="F17" s="84"/>
      <c r="G17" s="84"/>
      <c r="H17" s="84">
        <f t="shared" si="0"/>
        <v>0</v>
      </c>
      <c r="I17" s="84"/>
      <c r="J17" s="84">
        <f t="shared" si="1"/>
        <v>0</v>
      </c>
      <c r="K17" s="84">
        <f t="shared" si="2"/>
        <v>0</v>
      </c>
      <c r="L17" s="139"/>
    </row>
    <row r="18" spans="1:14" ht="40.5" x14ac:dyDescent="0.35">
      <c r="A18" s="56">
        <v>10</v>
      </c>
      <c r="B18" s="120" t="s">
        <v>170</v>
      </c>
      <c r="C18" s="121" t="s">
        <v>44</v>
      </c>
      <c r="D18" s="122">
        <v>470.1</v>
      </c>
      <c r="E18" s="122"/>
      <c r="F18" s="122"/>
      <c r="G18" s="122"/>
      <c r="H18" s="122">
        <f t="shared" si="0"/>
        <v>0</v>
      </c>
      <c r="I18" s="122"/>
      <c r="J18" s="122">
        <f t="shared" si="1"/>
        <v>0</v>
      </c>
      <c r="K18" s="122">
        <f t="shared" si="2"/>
        <v>0</v>
      </c>
      <c r="L18" s="148"/>
    </row>
    <row r="19" spans="1:14" ht="27" x14ac:dyDescent="0.35">
      <c r="A19" s="56">
        <v>11</v>
      </c>
      <c r="B19" s="87" t="s">
        <v>171</v>
      </c>
      <c r="C19" s="24" t="s">
        <v>44</v>
      </c>
      <c r="D19" s="84">
        <v>155</v>
      </c>
      <c r="E19" s="84"/>
      <c r="F19" s="84"/>
      <c r="G19" s="84"/>
      <c r="H19" s="84">
        <f t="shared" si="0"/>
        <v>0</v>
      </c>
      <c r="I19" s="84"/>
      <c r="J19" s="84">
        <f t="shared" si="1"/>
        <v>0</v>
      </c>
      <c r="K19" s="84">
        <f t="shared" si="2"/>
        <v>0</v>
      </c>
      <c r="L19" s="139"/>
      <c r="N19" s="147"/>
    </row>
    <row r="20" spans="1:14" ht="27" x14ac:dyDescent="0.35">
      <c r="A20" s="56">
        <v>13</v>
      </c>
      <c r="B20" s="88" t="s">
        <v>112</v>
      </c>
      <c r="C20" s="24" t="s">
        <v>65</v>
      </c>
      <c r="D20" s="84">
        <v>623</v>
      </c>
      <c r="E20" s="84"/>
      <c r="F20" s="84"/>
      <c r="G20" s="84"/>
      <c r="H20" s="84">
        <f t="shared" si="0"/>
        <v>0</v>
      </c>
      <c r="I20" s="84"/>
      <c r="J20" s="84">
        <f t="shared" si="1"/>
        <v>0</v>
      </c>
      <c r="K20" s="84">
        <f>J20+H20+F20</f>
        <v>0</v>
      </c>
      <c r="L20" s="140"/>
    </row>
    <row r="21" spans="1:14" ht="15" customHeight="1" x14ac:dyDescent="0.35">
      <c r="A21" s="56">
        <v>14</v>
      </c>
      <c r="B21" s="87" t="s">
        <v>100</v>
      </c>
      <c r="C21" s="24" t="s">
        <v>35</v>
      </c>
      <c r="D21" s="84">
        <v>40</v>
      </c>
      <c r="E21" s="84"/>
      <c r="F21" s="84"/>
      <c r="G21" s="84"/>
      <c r="H21" s="84">
        <f t="shared" si="0"/>
        <v>0</v>
      </c>
      <c r="I21" s="84"/>
      <c r="J21" s="84">
        <f t="shared" si="1"/>
        <v>0</v>
      </c>
      <c r="K21" s="84">
        <f t="shared" si="2"/>
        <v>0</v>
      </c>
      <c r="L21" s="140"/>
    </row>
    <row r="22" spans="1:14" ht="43.5" x14ac:dyDescent="0.35">
      <c r="A22" s="56">
        <v>17</v>
      </c>
      <c r="B22" s="87" t="s">
        <v>103</v>
      </c>
      <c r="C22" s="24" t="s">
        <v>104</v>
      </c>
      <c r="D22" s="84">
        <v>39</v>
      </c>
      <c r="E22" s="84"/>
      <c r="F22" s="84"/>
      <c r="G22" s="84"/>
      <c r="H22" s="84">
        <f t="shared" si="0"/>
        <v>0</v>
      </c>
      <c r="I22" s="84"/>
      <c r="J22" s="84">
        <f t="shared" si="1"/>
        <v>0</v>
      </c>
      <c r="K22" s="84">
        <f t="shared" si="2"/>
        <v>0</v>
      </c>
      <c r="L22" s="139" t="s">
        <v>201</v>
      </c>
    </row>
    <row r="23" spans="1:14" ht="43.5" x14ac:dyDescent="0.35">
      <c r="A23" s="56">
        <v>19</v>
      </c>
      <c r="B23" s="87" t="s">
        <v>105</v>
      </c>
      <c r="C23" s="24" t="s">
        <v>104</v>
      </c>
      <c r="D23" s="84">
        <v>52</v>
      </c>
      <c r="E23" s="84"/>
      <c r="F23" s="84"/>
      <c r="G23" s="84"/>
      <c r="H23" s="84">
        <f t="shared" si="0"/>
        <v>0</v>
      </c>
      <c r="I23" s="84"/>
      <c r="J23" s="84">
        <f t="shared" si="1"/>
        <v>0</v>
      </c>
      <c r="K23" s="84">
        <f t="shared" si="2"/>
        <v>0</v>
      </c>
      <c r="L23" s="139" t="s">
        <v>201</v>
      </c>
    </row>
    <row r="24" spans="1:14" ht="27" x14ac:dyDescent="0.35">
      <c r="A24" s="56">
        <v>20</v>
      </c>
      <c r="B24" s="87" t="s">
        <v>143</v>
      </c>
      <c r="C24" s="24" t="s">
        <v>104</v>
      </c>
      <c r="D24" s="84">
        <v>8</v>
      </c>
      <c r="E24" s="84"/>
      <c r="F24" s="84"/>
      <c r="G24" s="84"/>
      <c r="H24" s="84">
        <f t="shared" si="0"/>
        <v>0</v>
      </c>
      <c r="I24" s="84"/>
      <c r="J24" s="84">
        <f t="shared" si="1"/>
        <v>0</v>
      </c>
      <c r="K24" s="84">
        <f t="shared" si="2"/>
        <v>0</v>
      </c>
      <c r="L24" s="140"/>
    </row>
    <row r="25" spans="1:14" x14ac:dyDescent="0.35">
      <c r="A25" s="56">
        <v>21</v>
      </c>
      <c r="B25" s="87" t="s">
        <v>106</v>
      </c>
      <c r="C25" s="24" t="s">
        <v>102</v>
      </c>
      <c r="D25" s="84">
        <v>452</v>
      </c>
      <c r="E25" s="84"/>
      <c r="F25" s="84"/>
      <c r="G25" s="84"/>
      <c r="H25" s="84">
        <f t="shared" si="0"/>
        <v>0</v>
      </c>
      <c r="I25" s="84"/>
      <c r="J25" s="84">
        <f t="shared" si="1"/>
        <v>0</v>
      </c>
      <c r="K25" s="84">
        <f t="shared" si="2"/>
        <v>0</v>
      </c>
      <c r="L25" s="140"/>
    </row>
    <row r="26" spans="1:14" x14ac:dyDescent="0.35">
      <c r="A26" s="56">
        <v>22</v>
      </c>
      <c r="B26" s="87" t="s">
        <v>113</v>
      </c>
      <c r="C26" s="24" t="s">
        <v>35</v>
      </c>
      <c r="D26" s="106">
        <v>92</v>
      </c>
      <c r="E26" s="84"/>
      <c r="F26" s="84"/>
      <c r="G26" s="84"/>
      <c r="H26" s="84">
        <f t="shared" si="0"/>
        <v>0</v>
      </c>
      <c r="I26" s="84"/>
      <c r="J26" s="84">
        <f t="shared" si="1"/>
        <v>0</v>
      </c>
      <c r="K26" s="84">
        <f t="shared" si="2"/>
        <v>0</v>
      </c>
      <c r="L26" s="140"/>
    </row>
    <row r="27" spans="1:14" ht="27" x14ac:dyDescent="0.35">
      <c r="A27" s="56">
        <v>23</v>
      </c>
      <c r="B27" s="87" t="s">
        <v>174</v>
      </c>
      <c r="C27" s="24" t="s">
        <v>35</v>
      </c>
      <c r="D27" s="84">
        <v>2</v>
      </c>
      <c r="E27" s="84"/>
      <c r="F27" s="84"/>
      <c r="G27" s="84"/>
      <c r="H27" s="84">
        <f t="shared" si="0"/>
        <v>0</v>
      </c>
      <c r="I27" s="84"/>
      <c r="J27" s="84">
        <f t="shared" si="1"/>
        <v>0</v>
      </c>
      <c r="K27" s="84">
        <f t="shared" si="2"/>
        <v>0</v>
      </c>
      <c r="L27" s="140"/>
    </row>
    <row r="28" spans="1:14" s="154" customFormat="1" ht="27" x14ac:dyDescent="0.35">
      <c r="A28" s="149">
        <v>26</v>
      </c>
      <c r="B28" s="150" t="s">
        <v>184</v>
      </c>
      <c r="C28" s="151" t="s">
        <v>44</v>
      </c>
      <c r="D28" s="152">
        <v>47</v>
      </c>
      <c r="E28" s="152"/>
      <c r="F28" s="152"/>
      <c r="G28" s="152"/>
      <c r="H28" s="152">
        <f t="shared" si="0"/>
        <v>0</v>
      </c>
      <c r="I28" s="152"/>
      <c r="J28" s="152">
        <f t="shared" si="1"/>
        <v>0</v>
      </c>
      <c r="K28" s="152">
        <f t="shared" si="2"/>
        <v>0</v>
      </c>
      <c r="L28" s="153"/>
    </row>
    <row r="29" spans="1:14" ht="27" x14ac:dyDescent="0.35">
      <c r="A29" s="56">
        <v>27</v>
      </c>
      <c r="B29" s="87" t="s">
        <v>107</v>
      </c>
      <c r="C29" s="24" t="s">
        <v>44</v>
      </c>
      <c r="D29" s="84">
        <v>50</v>
      </c>
      <c r="E29" s="84"/>
      <c r="F29" s="84"/>
      <c r="G29" s="84"/>
      <c r="H29" s="84">
        <f t="shared" si="0"/>
        <v>0</v>
      </c>
      <c r="I29" s="84"/>
      <c r="J29" s="84">
        <f t="shared" si="1"/>
        <v>0</v>
      </c>
      <c r="K29" s="84">
        <f t="shared" si="2"/>
        <v>0</v>
      </c>
      <c r="L29" s="140"/>
      <c r="N29" s="147"/>
    </row>
    <row r="30" spans="1:14" x14ac:dyDescent="0.35">
      <c r="A30" s="56">
        <v>29</v>
      </c>
      <c r="B30" s="87" t="s">
        <v>108</v>
      </c>
      <c r="C30" s="24" t="s">
        <v>13</v>
      </c>
      <c r="D30" s="84">
        <v>11.6</v>
      </c>
      <c r="E30" s="84"/>
      <c r="F30" s="84"/>
      <c r="G30" s="84"/>
      <c r="H30" s="84">
        <f t="shared" si="0"/>
        <v>0</v>
      </c>
      <c r="I30" s="84"/>
      <c r="J30" s="84">
        <f t="shared" si="1"/>
        <v>0</v>
      </c>
      <c r="K30" s="84">
        <f t="shared" si="2"/>
        <v>0</v>
      </c>
      <c r="L30" s="140"/>
    </row>
    <row r="31" spans="1:14" ht="27" x14ac:dyDescent="0.35">
      <c r="A31" s="56">
        <v>30</v>
      </c>
      <c r="B31" s="87" t="s">
        <v>109</v>
      </c>
      <c r="C31" s="24" t="s">
        <v>104</v>
      </c>
      <c r="D31" s="84">
        <v>5</v>
      </c>
      <c r="E31" s="84"/>
      <c r="F31" s="84"/>
      <c r="G31" s="84"/>
      <c r="H31" s="84">
        <f t="shared" si="0"/>
        <v>0</v>
      </c>
      <c r="I31" s="84"/>
      <c r="J31" s="84">
        <f t="shared" si="1"/>
        <v>0</v>
      </c>
      <c r="K31" s="84">
        <f t="shared" si="2"/>
        <v>0</v>
      </c>
      <c r="L31" s="140"/>
    </row>
    <row r="32" spans="1:14" x14ac:dyDescent="0.35">
      <c r="A32" s="56">
        <v>31</v>
      </c>
      <c r="B32" s="87" t="s">
        <v>110</v>
      </c>
      <c r="C32" s="24" t="s">
        <v>35</v>
      </c>
      <c r="D32" s="84">
        <v>52</v>
      </c>
      <c r="E32" s="84"/>
      <c r="F32" s="84"/>
      <c r="G32" s="84"/>
      <c r="H32" s="84">
        <f t="shared" si="0"/>
        <v>0</v>
      </c>
      <c r="I32" s="84"/>
      <c r="J32" s="84"/>
      <c r="K32" s="84">
        <f t="shared" si="2"/>
        <v>0</v>
      </c>
      <c r="L32" s="140"/>
    </row>
    <row r="33" spans="1:13" x14ac:dyDescent="0.35">
      <c r="A33" s="56">
        <v>32</v>
      </c>
      <c r="B33" s="87" t="s">
        <v>114</v>
      </c>
      <c r="C33" s="24" t="s">
        <v>15</v>
      </c>
      <c r="D33" s="84">
        <v>112</v>
      </c>
      <c r="E33" s="84"/>
      <c r="F33" s="84"/>
      <c r="G33" s="84"/>
      <c r="H33" s="84">
        <f t="shared" si="0"/>
        <v>0</v>
      </c>
      <c r="I33" s="84"/>
      <c r="J33" s="84">
        <f t="shared" si="1"/>
        <v>0</v>
      </c>
      <c r="K33" s="84">
        <f t="shared" si="2"/>
        <v>0</v>
      </c>
      <c r="L33" s="140"/>
    </row>
    <row r="34" spans="1:13" x14ac:dyDescent="0.35">
      <c r="A34" s="56">
        <v>33</v>
      </c>
      <c r="B34" s="85" t="s">
        <v>111</v>
      </c>
      <c r="C34" s="24" t="s">
        <v>45</v>
      </c>
      <c r="D34" s="84">
        <v>24</v>
      </c>
      <c r="E34" s="84"/>
      <c r="F34" s="84"/>
      <c r="G34" s="84"/>
      <c r="H34" s="84">
        <f t="shared" si="0"/>
        <v>0</v>
      </c>
      <c r="I34" s="84"/>
      <c r="J34" s="84">
        <f t="shared" si="1"/>
        <v>0</v>
      </c>
      <c r="K34" s="84">
        <f t="shared" si="2"/>
        <v>0</v>
      </c>
      <c r="L34" s="140"/>
    </row>
    <row r="35" spans="1:13" x14ac:dyDescent="0.35">
      <c r="A35" s="56">
        <v>34</v>
      </c>
      <c r="B35" s="85" t="s">
        <v>32</v>
      </c>
      <c r="C35" s="24" t="s">
        <v>30</v>
      </c>
      <c r="D35" s="84">
        <f>D34*1.5</f>
        <v>36</v>
      </c>
      <c r="E35" s="84"/>
      <c r="F35" s="84"/>
      <c r="G35" s="84"/>
      <c r="H35" s="84">
        <f t="shared" si="0"/>
        <v>0</v>
      </c>
      <c r="I35" s="84"/>
      <c r="J35" s="84">
        <f t="shared" si="1"/>
        <v>0</v>
      </c>
      <c r="K35" s="84">
        <f t="shared" si="2"/>
        <v>0</v>
      </c>
      <c r="L35" s="140"/>
    </row>
    <row r="36" spans="1:13" x14ac:dyDescent="0.35">
      <c r="A36" s="65"/>
      <c r="B36" s="66" t="s">
        <v>28</v>
      </c>
      <c r="C36" s="67"/>
      <c r="D36" s="68"/>
      <c r="E36" s="68"/>
      <c r="F36" s="68"/>
      <c r="G36" s="68"/>
      <c r="H36" s="68"/>
      <c r="I36" s="68"/>
      <c r="J36" s="68"/>
      <c r="K36" s="68"/>
      <c r="L36" s="141"/>
    </row>
    <row r="37" spans="1:13" x14ac:dyDescent="0.35">
      <c r="A37" s="135"/>
      <c r="B37" s="54" t="s">
        <v>127</v>
      </c>
      <c r="C37" s="24"/>
      <c r="D37" s="84"/>
      <c r="E37" s="84"/>
      <c r="F37" s="84"/>
      <c r="G37" s="84"/>
      <c r="H37" s="84"/>
      <c r="I37" s="84"/>
      <c r="J37" s="84"/>
      <c r="K37" s="84"/>
    </row>
    <row r="38" spans="1:13" ht="29" x14ac:dyDescent="0.35">
      <c r="A38" s="262">
        <v>38</v>
      </c>
      <c r="B38" s="123" t="s">
        <v>185</v>
      </c>
      <c r="C38" s="124" t="s">
        <v>118</v>
      </c>
      <c r="D38" s="125">
        <f>D28</f>
        <v>47</v>
      </c>
      <c r="E38" s="122"/>
      <c r="F38" s="122"/>
      <c r="G38" s="122"/>
      <c r="H38" s="122">
        <f>G38*D38</f>
        <v>0</v>
      </c>
      <c r="I38" s="122"/>
      <c r="J38" s="122">
        <f>I38*D38</f>
        <v>0</v>
      </c>
      <c r="K38" s="126">
        <f t="shared" ref="K38:K55" si="3">J38+H38+F38</f>
        <v>0</v>
      </c>
      <c r="L38" s="142" t="s">
        <v>193</v>
      </c>
      <c r="M38" s="155"/>
    </row>
    <row r="39" spans="1:13" x14ac:dyDescent="0.35">
      <c r="A39" s="263"/>
      <c r="B39" s="61" t="s">
        <v>161</v>
      </c>
      <c r="C39" s="14" t="s">
        <v>13</v>
      </c>
      <c r="D39" s="84">
        <f>D38*1.05</f>
        <v>49.35</v>
      </c>
      <c r="E39" s="84"/>
      <c r="F39" s="84">
        <f>E39*D39</f>
        <v>0</v>
      </c>
      <c r="G39" s="84"/>
      <c r="H39" s="84"/>
      <c r="I39" s="84"/>
      <c r="J39" s="84"/>
      <c r="K39" s="44">
        <f t="shared" si="3"/>
        <v>0</v>
      </c>
    </row>
    <row r="40" spans="1:13" ht="27" x14ac:dyDescent="0.35">
      <c r="A40" s="263"/>
      <c r="B40" s="85" t="s">
        <v>162</v>
      </c>
      <c r="C40" s="89" t="s">
        <v>13</v>
      </c>
      <c r="D40" s="84">
        <f>D38</f>
        <v>47</v>
      </c>
      <c r="E40" s="84"/>
      <c r="F40" s="84">
        <f t="shared" ref="F40:F41" si="4">E40*D40</f>
        <v>0</v>
      </c>
      <c r="G40" s="84"/>
      <c r="H40" s="84"/>
      <c r="I40" s="84"/>
      <c r="J40" s="84"/>
      <c r="K40" s="44">
        <f t="shared" si="3"/>
        <v>0</v>
      </c>
    </row>
    <row r="41" spans="1:13" x14ac:dyDescent="0.35">
      <c r="A41" s="264"/>
      <c r="B41" s="88" t="s">
        <v>17</v>
      </c>
      <c r="C41" s="89" t="s">
        <v>18</v>
      </c>
      <c r="D41" s="84">
        <f>D38*0.1</f>
        <v>4.7</v>
      </c>
      <c r="E41" s="84"/>
      <c r="F41" s="84">
        <f t="shared" si="4"/>
        <v>0</v>
      </c>
      <c r="G41" s="84"/>
      <c r="H41" s="84"/>
      <c r="I41" s="84"/>
      <c r="J41" s="84"/>
      <c r="K41" s="44">
        <f t="shared" si="3"/>
        <v>0</v>
      </c>
    </row>
    <row r="42" spans="1:13" ht="27" x14ac:dyDescent="0.35">
      <c r="A42" s="245">
        <v>39</v>
      </c>
      <c r="B42" s="96" t="s">
        <v>128</v>
      </c>
      <c r="C42" s="56" t="s">
        <v>15</v>
      </c>
      <c r="D42" s="97">
        <v>80</v>
      </c>
      <c r="E42" s="91"/>
      <c r="F42" s="91"/>
      <c r="G42" s="91"/>
      <c r="H42" s="91">
        <f t="shared" ref="H42:H51" si="5">G42*D42</f>
        <v>0</v>
      </c>
      <c r="I42" s="91"/>
      <c r="J42" s="91">
        <f>I42*D42</f>
        <v>0</v>
      </c>
      <c r="K42" s="91">
        <f t="shared" si="3"/>
        <v>0</v>
      </c>
    </row>
    <row r="43" spans="1:13" x14ac:dyDescent="0.35">
      <c r="A43" s="246"/>
      <c r="B43" s="88" t="s">
        <v>82</v>
      </c>
      <c r="C43" s="89" t="s">
        <v>15</v>
      </c>
      <c r="D43" s="91">
        <f>D42*1.1</f>
        <v>88</v>
      </c>
      <c r="E43" s="91"/>
      <c r="F43" s="91">
        <f t="shared" ref="F43:F55" si="6">E43*D43</f>
        <v>0</v>
      </c>
      <c r="G43" s="91"/>
      <c r="H43" s="91"/>
      <c r="I43" s="91"/>
      <c r="J43" s="91"/>
      <c r="K43" s="91">
        <f t="shared" si="3"/>
        <v>0</v>
      </c>
    </row>
    <row r="44" spans="1:13" x14ac:dyDescent="0.35">
      <c r="A44" s="247"/>
      <c r="B44" s="92" t="s">
        <v>80</v>
      </c>
      <c r="C44" s="89" t="s">
        <v>37</v>
      </c>
      <c r="D44" s="91">
        <v>5</v>
      </c>
      <c r="E44" s="91"/>
      <c r="F44" s="91">
        <f t="shared" si="6"/>
        <v>0</v>
      </c>
      <c r="G44" s="91"/>
      <c r="H44" s="91"/>
      <c r="I44" s="91"/>
      <c r="J44" s="91"/>
      <c r="K44" s="91">
        <f t="shared" si="3"/>
        <v>0</v>
      </c>
    </row>
    <row r="45" spans="1:13" ht="27" x14ac:dyDescent="0.35">
      <c r="A45" s="245">
        <v>42</v>
      </c>
      <c r="B45" s="90" t="s">
        <v>186</v>
      </c>
      <c r="C45" s="86" t="s">
        <v>13</v>
      </c>
      <c r="D45" s="107">
        <f>D29</f>
        <v>50</v>
      </c>
      <c r="E45" s="91"/>
      <c r="F45" s="91"/>
      <c r="G45" s="91"/>
      <c r="H45" s="91">
        <f t="shared" si="5"/>
        <v>0</v>
      </c>
      <c r="I45" s="91"/>
      <c r="J45" s="91">
        <f>I45*D45</f>
        <v>0</v>
      </c>
      <c r="K45" s="91">
        <f t="shared" si="3"/>
        <v>0</v>
      </c>
      <c r="L45" s="143" t="s">
        <v>202</v>
      </c>
    </row>
    <row r="46" spans="1:13" x14ac:dyDescent="0.35">
      <c r="A46" s="246"/>
      <c r="B46" s="33" t="s">
        <v>55</v>
      </c>
      <c r="C46" s="89" t="s">
        <v>13</v>
      </c>
      <c r="D46" s="91">
        <f>D45*1.05</f>
        <v>52.5</v>
      </c>
      <c r="E46" s="91"/>
      <c r="F46" s="91">
        <f t="shared" si="6"/>
        <v>0</v>
      </c>
      <c r="G46" s="91"/>
      <c r="H46" s="91"/>
      <c r="I46" s="91"/>
      <c r="J46" s="91"/>
      <c r="K46" s="91">
        <f t="shared" si="3"/>
        <v>0</v>
      </c>
    </row>
    <row r="47" spans="1:13" x14ac:dyDescent="0.35">
      <c r="A47" s="246"/>
      <c r="B47" s="33" t="s">
        <v>50</v>
      </c>
      <c r="C47" s="89" t="s">
        <v>19</v>
      </c>
      <c r="D47" s="91">
        <f>D45*5</f>
        <v>250</v>
      </c>
      <c r="E47" s="91"/>
      <c r="F47" s="91">
        <f t="shared" si="6"/>
        <v>0</v>
      </c>
      <c r="G47" s="91"/>
      <c r="H47" s="91"/>
      <c r="I47" s="91"/>
      <c r="J47" s="91"/>
      <c r="K47" s="91">
        <f t="shared" si="3"/>
        <v>0</v>
      </c>
    </row>
    <row r="48" spans="1:13" x14ac:dyDescent="0.35">
      <c r="A48" s="246"/>
      <c r="B48" s="33" t="s">
        <v>71</v>
      </c>
      <c r="C48" s="89" t="s">
        <v>19</v>
      </c>
      <c r="D48" s="91">
        <f>D45*0.04</f>
        <v>2</v>
      </c>
      <c r="E48" s="91"/>
      <c r="F48" s="91">
        <f t="shared" si="6"/>
        <v>0</v>
      </c>
      <c r="G48" s="91"/>
      <c r="H48" s="91"/>
      <c r="I48" s="91"/>
      <c r="J48" s="91"/>
      <c r="K48" s="91">
        <f t="shared" si="3"/>
        <v>0</v>
      </c>
    </row>
    <row r="49" spans="1:12" x14ac:dyDescent="0.35">
      <c r="A49" s="246"/>
      <c r="B49" s="33" t="s">
        <v>51</v>
      </c>
      <c r="C49" s="89" t="s">
        <v>14</v>
      </c>
      <c r="D49" s="91">
        <f>D45*0.7</f>
        <v>35</v>
      </c>
      <c r="E49" s="91"/>
      <c r="F49" s="91">
        <f t="shared" si="6"/>
        <v>0</v>
      </c>
      <c r="G49" s="91"/>
      <c r="H49" s="91"/>
      <c r="I49" s="91"/>
      <c r="J49" s="91"/>
      <c r="K49" s="91">
        <f t="shared" si="3"/>
        <v>0</v>
      </c>
    </row>
    <row r="50" spans="1:12" x14ac:dyDescent="0.35">
      <c r="A50" s="247"/>
      <c r="B50" s="33" t="s">
        <v>17</v>
      </c>
      <c r="C50" s="89" t="s">
        <v>18</v>
      </c>
      <c r="D50" s="91">
        <f>D46*0.08</f>
        <v>4.2</v>
      </c>
      <c r="E50" s="91"/>
      <c r="F50" s="91">
        <f t="shared" si="6"/>
        <v>0</v>
      </c>
      <c r="G50" s="91"/>
      <c r="H50" s="91"/>
      <c r="I50" s="91"/>
      <c r="J50" s="91"/>
      <c r="K50" s="91">
        <f t="shared" si="3"/>
        <v>0</v>
      </c>
    </row>
    <row r="51" spans="1:12" ht="27" x14ac:dyDescent="0.35">
      <c r="A51" s="245">
        <v>43</v>
      </c>
      <c r="B51" s="96" t="s">
        <v>151</v>
      </c>
      <c r="C51" s="86" t="s">
        <v>15</v>
      </c>
      <c r="D51" s="107">
        <v>30</v>
      </c>
      <c r="E51" s="91"/>
      <c r="F51" s="91"/>
      <c r="G51" s="91"/>
      <c r="H51" s="91">
        <f t="shared" si="5"/>
        <v>0</v>
      </c>
      <c r="I51" s="91"/>
      <c r="J51" s="91">
        <f>I51*D51</f>
        <v>0</v>
      </c>
      <c r="K51" s="91">
        <f t="shared" si="3"/>
        <v>0</v>
      </c>
      <c r="L51" s="143" t="s">
        <v>202</v>
      </c>
    </row>
    <row r="52" spans="1:12" x14ac:dyDescent="0.35">
      <c r="A52" s="246"/>
      <c r="B52" s="92" t="s">
        <v>59</v>
      </c>
      <c r="C52" s="89" t="s">
        <v>15</v>
      </c>
      <c r="D52" s="91">
        <f>1.03*D51</f>
        <v>30.900000000000002</v>
      </c>
      <c r="E52" s="91"/>
      <c r="F52" s="91">
        <f t="shared" si="6"/>
        <v>0</v>
      </c>
      <c r="G52" s="91"/>
      <c r="H52" s="91"/>
      <c r="I52" s="91"/>
      <c r="J52" s="91"/>
      <c r="K52" s="91">
        <f t="shared" si="3"/>
        <v>0</v>
      </c>
    </row>
    <row r="53" spans="1:12" x14ac:dyDescent="0.35">
      <c r="A53" s="246"/>
      <c r="B53" s="92" t="s">
        <v>61</v>
      </c>
      <c r="C53" s="89" t="s">
        <v>37</v>
      </c>
      <c r="D53" s="91">
        <f>D51*4</f>
        <v>120</v>
      </c>
      <c r="E53" s="91"/>
      <c r="F53" s="91">
        <f t="shared" si="6"/>
        <v>0</v>
      </c>
      <c r="G53" s="91"/>
      <c r="H53" s="91"/>
      <c r="I53" s="91"/>
      <c r="J53" s="91"/>
      <c r="K53" s="91">
        <f t="shared" si="3"/>
        <v>0</v>
      </c>
    </row>
    <row r="54" spans="1:12" x14ac:dyDescent="0.35">
      <c r="A54" s="246"/>
      <c r="B54" s="92" t="s">
        <v>60</v>
      </c>
      <c r="C54" s="89" t="s">
        <v>37</v>
      </c>
      <c r="D54" s="91">
        <v>15</v>
      </c>
      <c r="E54" s="91"/>
      <c r="F54" s="91">
        <f t="shared" si="6"/>
        <v>0</v>
      </c>
      <c r="G54" s="91"/>
      <c r="H54" s="91"/>
      <c r="I54" s="91"/>
      <c r="J54" s="91"/>
      <c r="K54" s="91">
        <f t="shared" si="3"/>
        <v>0</v>
      </c>
    </row>
    <row r="55" spans="1:12" x14ac:dyDescent="0.35">
      <c r="A55" s="247"/>
      <c r="B55" s="92" t="s">
        <v>17</v>
      </c>
      <c r="C55" s="89" t="s">
        <v>18</v>
      </c>
      <c r="D55" s="91">
        <f>D51*0.03</f>
        <v>0.89999999999999991</v>
      </c>
      <c r="E55" s="91"/>
      <c r="F55" s="91">
        <f t="shared" si="6"/>
        <v>0</v>
      </c>
      <c r="G55" s="91"/>
      <c r="H55" s="91"/>
      <c r="I55" s="91"/>
      <c r="J55" s="91"/>
      <c r="K55" s="91">
        <f t="shared" si="3"/>
        <v>0</v>
      </c>
    </row>
    <row r="56" spans="1:12" x14ac:dyDescent="0.35">
      <c r="A56" s="131"/>
      <c r="B56" s="72" t="s">
        <v>122</v>
      </c>
      <c r="C56" s="89"/>
      <c r="D56" s="84"/>
      <c r="E56" s="84"/>
      <c r="F56" s="84"/>
      <c r="G56" s="84"/>
      <c r="H56" s="84"/>
      <c r="I56" s="84"/>
      <c r="J56" s="84"/>
      <c r="K56" s="44"/>
    </row>
    <row r="57" spans="1:12" ht="29" x14ac:dyDescent="0.35">
      <c r="A57" s="245">
        <v>44</v>
      </c>
      <c r="B57" s="20" t="s">
        <v>123</v>
      </c>
      <c r="C57" s="59" t="s">
        <v>118</v>
      </c>
      <c r="D57" s="107">
        <f>D19</f>
        <v>155</v>
      </c>
      <c r="E57" s="84"/>
      <c r="F57" s="84"/>
      <c r="G57" s="84"/>
      <c r="H57" s="84">
        <f t="shared" ref="H57" si="7">G57*D57</f>
        <v>0</v>
      </c>
      <c r="I57" s="84"/>
      <c r="J57" s="84"/>
      <c r="K57" s="84">
        <f t="shared" ref="K57:K90" si="8">J57+H57+F57</f>
        <v>0</v>
      </c>
      <c r="L57" s="143" t="s">
        <v>203</v>
      </c>
    </row>
    <row r="58" spans="1:12" x14ac:dyDescent="0.35">
      <c r="A58" s="246"/>
      <c r="B58" s="18" t="s">
        <v>48</v>
      </c>
      <c r="C58" s="24" t="s">
        <v>46</v>
      </c>
      <c r="D58" s="84">
        <f>D57*0.063</f>
        <v>9.7650000000000006</v>
      </c>
      <c r="E58" s="84"/>
      <c r="F58" s="84">
        <f t="shared" ref="F58:F61" si="9">E58*D58</f>
        <v>0</v>
      </c>
      <c r="G58" s="84"/>
      <c r="H58" s="84"/>
      <c r="I58" s="84"/>
      <c r="J58" s="84">
        <f t="shared" ref="J58:J60" si="10">I58*D58</f>
        <v>0</v>
      </c>
      <c r="K58" s="84">
        <f t="shared" si="8"/>
        <v>0</v>
      </c>
    </row>
    <row r="59" spans="1:12" x14ac:dyDescent="0.35">
      <c r="A59" s="246"/>
      <c r="B59" s="18" t="s">
        <v>52</v>
      </c>
      <c r="C59" s="24" t="s">
        <v>16</v>
      </c>
      <c r="D59" s="84">
        <f>D58*0.3</f>
        <v>2.9295</v>
      </c>
      <c r="E59" s="84"/>
      <c r="F59" s="84">
        <f t="shared" si="9"/>
        <v>0</v>
      </c>
      <c r="G59" s="84"/>
      <c r="H59" s="84"/>
      <c r="I59" s="84"/>
      <c r="J59" s="84">
        <f t="shared" si="10"/>
        <v>0</v>
      </c>
      <c r="K59" s="84">
        <f t="shared" si="8"/>
        <v>0</v>
      </c>
    </row>
    <row r="60" spans="1:12" x14ac:dyDescent="0.35">
      <c r="A60" s="246"/>
      <c r="B60" s="87" t="s">
        <v>74</v>
      </c>
      <c r="C60" s="39" t="s">
        <v>37</v>
      </c>
      <c r="D60" s="40">
        <f>D57*0.15</f>
        <v>23.25</v>
      </c>
      <c r="E60" s="41"/>
      <c r="F60" s="84">
        <f t="shared" si="9"/>
        <v>0</v>
      </c>
      <c r="G60" s="41"/>
      <c r="H60" s="84"/>
      <c r="I60" s="41"/>
      <c r="J60" s="84">
        <f t="shared" si="10"/>
        <v>0</v>
      </c>
      <c r="K60" s="84">
        <f t="shared" si="8"/>
        <v>0</v>
      </c>
    </row>
    <row r="61" spans="1:12" x14ac:dyDescent="0.35">
      <c r="A61" s="247"/>
      <c r="B61" s="33" t="s">
        <v>17</v>
      </c>
      <c r="C61" s="89" t="s">
        <v>18</v>
      </c>
      <c r="D61" s="91">
        <f>D57*0.07</f>
        <v>10.850000000000001</v>
      </c>
      <c r="E61" s="91"/>
      <c r="F61" s="84">
        <f t="shared" si="9"/>
        <v>0</v>
      </c>
      <c r="G61" s="91"/>
      <c r="H61" s="84"/>
      <c r="I61" s="91"/>
      <c r="J61" s="84"/>
      <c r="K61" s="84">
        <f t="shared" si="8"/>
        <v>0</v>
      </c>
    </row>
    <row r="62" spans="1:12" s="154" customFormat="1" ht="58" x14ac:dyDescent="0.35">
      <c r="A62" s="245">
        <v>45</v>
      </c>
      <c r="B62" s="166" t="s">
        <v>117</v>
      </c>
      <c r="C62" s="167" t="s">
        <v>118</v>
      </c>
      <c r="D62" s="160">
        <v>87.6</v>
      </c>
      <c r="E62" s="152"/>
      <c r="F62" s="152"/>
      <c r="G62" s="152"/>
      <c r="H62" s="152">
        <f>G62*D62</f>
        <v>0</v>
      </c>
      <c r="I62" s="152"/>
      <c r="J62" s="152">
        <f>I62*D62</f>
        <v>0</v>
      </c>
      <c r="K62" s="152">
        <f t="shared" si="8"/>
        <v>0</v>
      </c>
      <c r="L62" s="165" t="s">
        <v>200</v>
      </c>
    </row>
    <row r="63" spans="1:12" s="154" customFormat="1" x14ac:dyDescent="0.35">
      <c r="A63" s="246"/>
      <c r="B63" s="168" t="s">
        <v>119</v>
      </c>
      <c r="C63" s="169" t="s">
        <v>19</v>
      </c>
      <c r="D63" s="170">
        <f>D62*0.7</f>
        <v>61.319999999999993</v>
      </c>
      <c r="E63" s="171"/>
      <c r="F63" s="152">
        <f>E63*D63</f>
        <v>0</v>
      </c>
      <c r="G63" s="170"/>
      <c r="H63" s="172"/>
      <c r="I63" s="170"/>
      <c r="J63" s="172"/>
      <c r="K63" s="152">
        <f t="shared" si="8"/>
        <v>0</v>
      </c>
      <c r="L63" s="164"/>
    </row>
    <row r="64" spans="1:12" s="154" customFormat="1" x14ac:dyDescent="0.35">
      <c r="A64" s="246"/>
      <c r="B64" s="168" t="s">
        <v>120</v>
      </c>
      <c r="C64" s="169" t="s">
        <v>15</v>
      </c>
      <c r="D64" s="170">
        <v>263</v>
      </c>
      <c r="E64" s="171"/>
      <c r="F64" s="152">
        <f>E64*D64</f>
        <v>0</v>
      </c>
      <c r="G64" s="170"/>
      <c r="H64" s="172"/>
      <c r="I64" s="170"/>
      <c r="J64" s="172"/>
      <c r="K64" s="152">
        <f t="shared" si="8"/>
        <v>0</v>
      </c>
      <c r="L64" s="164"/>
    </row>
    <row r="65" spans="1:13" x14ac:dyDescent="0.35">
      <c r="A65" s="247"/>
      <c r="B65" s="45" t="s">
        <v>34</v>
      </c>
      <c r="C65" s="43" t="s">
        <v>18</v>
      </c>
      <c r="D65" s="62">
        <f>D62*0.1</f>
        <v>8.76</v>
      </c>
      <c r="E65" s="63"/>
      <c r="F65" s="84">
        <f>E65*D65</f>
        <v>0</v>
      </c>
      <c r="G65" s="64"/>
      <c r="H65" s="58"/>
      <c r="I65" s="64"/>
      <c r="J65" s="58"/>
      <c r="K65" s="84">
        <f t="shared" si="8"/>
        <v>0</v>
      </c>
    </row>
    <row r="66" spans="1:13" ht="58" x14ac:dyDescent="0.35">
      <c r="A66" s="132">
        <v>46</v>
      </c>
      <c r="B66" s="90" t="s">
        <v>182</v>
      </c>
      <c r="C66" s="86" t="s">
        <v>13</v>
      </c>
      <c r="D66" s="60">
        <v>117</v>
      </c>
      <c r="E66" s="91"/>
      <c r="F66" s="84"/>
      <c r="G66" s="91"/>
      <c r="H66" s="84">
        <f t="shared" ref="H66" si="11">G66*D66</f>
        <v>0</v>
      </c>
      <c r="I66" s="91"/>
      <c r="J66" s="84">
        <f>I66*D66</f>
        <v>0</v>
      </c>
      <c r="K66" s="84">
        <f t="shared" si="8"/>
        <v>0</v>
      </c>
      <c r="L66" s="139" t="s">
        <v>200</v>
      </c>
    </row>
    <row r="67" spans="1:13" ht="40.5" x14ac:dyDescent="0.35">
      <c r="A67" s="245">
        <v>48</v>
      </c>
      <c r="B67" s="90" t="s">
        <v>178</v>
      </c>
      <c r="C67" s="86" t="s">
        <v>13</v>
      </c>
      <c r="D67" s="107">
        <f>D16+D18+33.6</f>
        <v>537.85</v>
      </c>
      <c r="E67" s="91"/>
      <c r="F67" s="84"/>
      <c r="G67" s="91"/>
      <c r="H67" s="84">
        <f t="shared" ref="H67:H73" si="12">G67*D67</f>
        <v>0</v>
      </c>
      <c r="I67" s="91"/>
      <c r="J67" s="84">
        <f>I67*D67</f>
        <v>0</v>
      </c>
      <c r="K67" s="84">
        <f t="shared" si="8"/>
        <v>0</v>
      </c>
      <c r="L67" s="144" t="s">
        <v>202</v>
      </c>
    </row>
    <row r="68" spans="1:13" x14ac:dyDescent="0.35">
      <c r="A68" s="246"/>
      <c r="B68" s="87" t="s">
        <v>183</v>
      </c>
      <c r="C68" s="89" t="s">
        <v>13</v>
      </c>
      <c r="D68" s="91">
        <f>D67*1.03</f>
        <v>553.9855</v>
      </c>
      <c r="E68" s="91"/>
      <c r="F68" s="84">
        <f t="shared" ref="F68:F72" si="13">E68*D68</f>
        <v>0</v>
      </c>
      <c r="G68" s="91"/>
      <c r="H68" s="84"/>
      <c r="I68" s="91"/>
      <c r="J68" s="84"/>
      <c r="K68" s="84">
        <f t="shared" si="8"/>
        <v>0</v>
      </c>
    </row>
    <row r="69" spans="1:13" x14ac:dyDescent="0.35">
      <c r="A69" s="246"/>
      <c r="B69" s="33" t="s">
        <v>50</v>
      </c>
      <c r="C69" s="89" t="s">
        <v>19</v>
      </c>
      <c r="D69" s="94">
        <f>D67*6</f>
        <v>3227.1000000000004</v>
      </c>
      <c r="E69" s="91"/>
      <c r="F69" s="84">
        <f t="shared" si="13"/>
        <v>0</v>
      </c>
      <c r="G69" s="91"/>
      <c r="H69" s="84"/>
      <c r="I69" s="91"/>
      <c r="J69" s="84"/>
      <c r="K69" s="84">
        <f t="shared" si="8"/>
        <v>0</v>
      </c>
    </row>
    <row r="70" spans="1:13" x14ac:dyDescent="0.35">
      <c r="A70" s="246"/>
      <c r="B70" s="87" t="s">
        <v>121</v>
      </c>
      <c r="C70" s="89" t="s">
        <v>14</v>
      </c>
      <c r="D70" s="91">
        <f>D68*0.1</f>
        <v>55.39855</v>
      </c>
      <c r="E70" s="91"/>
      <c r="F70" s="84">
        <f t="shared" si="13"/>
        <v>0</v>
      </c>
      <c r="G70" s="91"/>
      <c r="H70" s="84"/>
      <c r="I70" s="91"/>
      <c r="J70" s="84"/>
      <c r="K70" s="84">
        <f>J70+H70+F70</f>
        <v>0</v>
      </c>
    </row>
    <row r="71" spans="1:13" x14ac:dyDescent="0.35">
      <c r="A71" s="246"/>
      <c r="B71" s="33" t="s">
        <v>75</v>
      </c>
      <c r="C71" s="89" t="s">
        <v>37</v>
      </c>
      <c r="D71" s="91">
        <v>3</v>
      </c>
      <c r="E71" s="91"/>
      <c r="F71" s="84">
        <f t="shared" si="13"/>
        <v>0</v>
      </c>
      <c r="G71" s="91"/>
      <c r="H71" s="84"/>
      <c r="I71" s="91"/>
      <c r="J71" s="84"/>
      <c r="K71" s="84">
        <f t="shared" ref="K71:K72" si="14">J71+H71+F71</f>
        <v>0</v>
      </c>
    </row>
    <row r="72" spans="1:13" x14ac:dyDescent="0.35">
      <c r="A72" s="247"/>
      <c r="B72" s="33" t="s">
        <v>17</v>
      </c>
      <c r="C72" s="89" t="s">
        <v>18</v>
      </c>
      <c r="D72" s="91">
        <f>D68*0.07</f>
        <v>38.778985000000006</v>
      </c>
      <c r="E72" s="91"/>
      <c r="F72" s="84">
        <f t="shared" si="13"/>
        <v>0</v>
      </c>
      <c r="G72" s="91"/>
      <c r="H72" s="84"/>
      <c r="I72" s="91"/>
      <c r="J72" s="84"/>
      <c r="K72" s="84">
        <f t="shared" si="14"/>
        <v>0</v>
      </c>
    </row>
    <row r="73" spans="1:13" x14ac:dyDescent="0.35">
      <c r="A73" s="245">
        <v>49</v>
      </c>
      <c r="B73" s="90" t="s">
        <v>54</v>
      </c>
      <c r="C73" s="86" t="s">
        <v>15</v>
      </c>
      <c r="D73" s="107">
        <v>40</v>
      </c>
      <c r="E73" s="91"/>
      <c r="F73" s="84"/>
      <c r="G73" s="91"/>
      <c r="H73" s="84">
        <f t="shared" si="12"/>
        <v>0</v>
      </c>
      <c r="I73" s="91"/>
      <c r="J73" s="84">
        <f>I73*D73</f>
        <v>0</v>
      </c>
      <c r="K73" s="84">
        <f t="shared" si="8"/>
        <v>0</v>
      </c>
      <c r="L73" s="144" t="s">
        <v>202</v>
      </c>
    </row>
    <row r="74" spans="1:13" x14ac:dyDescent="0.35">
      <c r="A74" s="246"/>
      <c r="B74" s="87" t="s">
        <v>183</v>
      </c>
      <c r="C74" s="89" t="s">
        <v>13</v>
      </c>
      <c r="D74" s="91">
        <f>D73*0.07*1.03</f>
        <v>2.8840000000000003</v>
      </c>
      <c r="E74" s="91"/>
      <c r="F74" s="84">
        <f t="shared" ref="F74:F78" si="15">E74*D74</f>
        <v>0</v>
      </c>
      <c r="G74" s="91"/>
      <c r="H74" s="84"/>
      <c r="I74" s="91"/>
      <c r="J74" s="84"/>
      <c r="K74" s="84">
        <f t="shared" si="8"/>
        <v>0</v>
      </c>
    </row>
    <row r="75" spans="1:13" x14ac:dyDescent="0.35">
      <c r="A75" s="246"/>
      <c r="B75" s="33" t="s">
        <v>50</v>
      </c>
      <c r="C75" s="89" t="s">
        <v>19</v>
      </c>
      <c r="D75" s="94">
        <f>D73*0.07*6</f>
        <v>16.8</v>
      </c>
      <c r="E75" s="91"/>
      <c r="F75" s="84">
        <f t="shared" si="15"/>
        <v>0</v>
      </c>
      <c r="G75" s="91"/>
      <c r="H75" s="84"/>
      <c r="I75" s="91"/>
      <c r="J75" s="84"/>
      <c r="K75" s="84">
        <f t="shared" si="8"/>
        <v>0</v>
      </c>
    </row>
    <row r="76" spans="1:13" x14ac:dyDescent="0.35">
      <c r="A76" s="246"/>
      <c r="B76" s="87" t="s">
        <v>121</v>
      </c>
      <c r="C76" s="89" t="s">
        <v>14</v>
      </c>
      <c r="D76" s="91">
        <f>D73*0.07*0.1</f>
        <v>0.28000000000000003</v>
      </c>
      <c r="E76" s="91"/>
      <c r="F76" s="84">
        <f t="shared" si="15"/>
        <v>0</v>
      </c>
      <c r="G76" s="91"/>
      <c r="H76" s="84"/>
      <c r="I76" s="91"/>
      <c r="J76" s="84"/>
      <c r="K76" s="84">
        <f>J76+H76+F76</f>
        <v>0</v>
      </c>
    </row>
    <row r="77" spans="1:13" x14ac:dyDescent="0.35">
      <c r="A77" s="246"/>
      <c r="B77" s="33" t="s">
        <v>75</v>
      </c>
      <c r="C77" s="89" t="s">
        <v>37</v>
      </c>
      <c r="D77" s="91">
        <v>1</v>
      </c>
      <c r="E77" s="91"/>
      <c r="F77" s="84">
        <f t="shared" si="15"/>
        <v>0</v>
      </c>
      <c r="G77" s="91"/>
      <c r="H77" s="84"/>
      <c r="I77" s="91"/>
      <c r="J77" s="84"/>
      <c r="K77" s="84">
        <f t="shared" ref="K77:K78" si="16">J77+H77+F77</f>
        <v>0</v>
      </c>
    </row>
    <row r="78" spans="1:13" x14ac:dyDescent="0.35">
      <c r="A78" s="246"/>
      <c r="B78" s="33" t="s">
        <v>17</v>
      </c>
      <c r="C78" s="89" t="s">
        <v>18</v>
      </c>
      <c r="D78" s="91">
        <f>D74*0.07</f>
        <v>0.20188000000000003</v>
      </c>
      <c r="E78" s="91"/>
      <c r="F78" s="84">
        <f t="shared" si="15"/>
        <v>0</v>
      </c>
      <c r="G78" s="91"/>
      <c r="H78" s="84"/>
      <c r="I78" s="91"/>
      <c r="J78" s="84"/>
      <c r="K78" s="84">
        <f t="shared" si="16"/>
        <v>0</v>
      </c>
    </row>
    <row r="79" spans="1:13" ht="27" x14ac:dyDescent="0.35">
      <c r="A79" s="265">
        <v>50</v>
      </c>
      <c r="B79" s="123" t="s">
        <v>206</v>
      </c>
      <c r="C79" s="128" t="s">
        <v>13</v>
      </c>
      <c r="D79" s="129">
        <f>D14</f>
        <v>164.2</v>
      </c>
      <c r="E79" s="127"/>
      <c r="F79" s="122"/>
      <c r="G79" s="127"/>
      <c r="H79" s="122">
        <f t="shared" ref="H79:H83" si="17">G79*D79</f>
        <v>0</v>
      </c>
      <c r="I79" s="127"/>
      <c r="J79" s="122">
        <f>I79*D79</f>
        <v>0</v>
      </c>
      <c r="K79" s="122">
        <f t="shared" si="8"/>
        <v>0</v>
      </c>
      <c r="L79" s="142"/>
      <c r="M79" s="136"/>
    </row>
    <row r="80" spans="1:13" x14ac:dyDescent="0.35">
      <c r="A80" s="266"/>
      <c r="B80" s="32" t="s">
        <v>49</v>
      </c>
      <c r="C80" s="89" t="s">
        <v>19</v>
      </c>
      <c r="D80" s="94">
        <f>D79*5</f>
        <v>821</v>
      </c>
      <c r="E80" s="91"/>
      <c r="F80" s="84">
        <f t="shared" ref="F80:F90" si="18">E80*D80</f>
        <v>0</v>
      </c>
      <c r="G80" s="91"/>
      <c r="H80" s="84"/>
      <c r="I80" s="91"/>
      <c r="J80" s="84"/>
      <c r="K80" s="84">
        <f t="shared" si="8"/>
        <v>0</v>
      </c>
    </row>
    <row r="81" spans="1:12" x14ac:dyDescent="0.35">
      <c r="A81" s="266"/>
      <c r="B81" s="32" t="s">
        <v>76</v>
      </c>
      <c r="C81" s="89" t="s">
        <v>19</v>
      </c>
      <c r="D81" s="94">
        <f>D79*0.35</f>
        <v>57.469999999999992</v>
      </c>
      <c r="E81" s="91"/>
      <c r="F81" s="84">
        <f t="shared" si="18"/>
        <v>0</v>
      </c>
      <c r="G81" s="91"/>
      <c r="H81" s="84"/>
      <c r="I81" s="91"/>
      <c r="J81" s="84"/>
      <c r="K81" s="84">
        <f t="shared" si="8"/>
        <v>0</v>
      </c>
    </row>
    <row r="82" spans="1:12" x14ac:dyDescent="0.35">
      <c r="A82" s="267"/>
      <c r="B82" s="92" t="s">
        <v>17</v>
      </c>
      <c r="C82" s="89" t="s">
        <v>18</v>
      </c>
      <c r="D82" s="91">
        <f>D79*0.04</f>
        <v>6.5679999999999996</v>
      </c>
      <c r="E82" s="91"/>
      <c r="F82" s="84">
        <f t="shared" si="18"/>
        <v>0</v>
      </c>
      <c r="G82" s="91"/>
      <c r="H82" s="84"/>
      <c r="I82" s="91"/>
      <c r="J82" s="84"/>
      <c r="K82" s="84">
        <f t="shared" si="8"/>
        <v>0</v>
      </c>
    </row>
    <row r="83" spans="1:12" ht="27" x14ac:dyDescent="0.35">
      <c r="A83" s="132">
        <v>52</v>
      </c>
      <c r="B83" s="90" t="s">
        <v>207</v>
      </c>
      <c r="C83" s="86" t="s">
        <v>13</v>
      </c>
      <c r="D83" s="60">
        <f>D14*1.1</f>
        <v>180.62</v>
      </c>
      <c r="E83" s="91"/>
      <c r="F83" s="84"/>
      <c r="G83" s="91"/>
      <c r="H83" s="84">
        <f t="shared" si="17"/>
        <v>0</v>
      </c>
      <c r="I83" s="91"/>
      <c r="J83" s="84">
        <f>I83*D83</f>
        <v>0</v>
      </c>
      <c r="K83" s="84">
        <f t="shared" si="8"/>
        <v>0</v>
      </c>
    </row>
    <row r="84" spans="1:12" x14ac:dyDescent="0.35">
      <c r="A84" s="246"/>
      <c r="B84" s="42" t="s">
        <v>78</v>
      </c>
      <c r="C84" s="43" t="s">
        <v>13</v>
      </c>
      <c r="D84" s="44">
        <f>D83*1.07</f>
        <v>193.26340000000002</v>
      </c>
      <c r="E84" s="44"/>
      <c r="F84" s="84">
        <f t="shared" si="18"/>
        <v>0</v>
      </c>
      <c r="G84" s="44"/>
      <c r="H84" s="84"/>
      <c r="I84" s="44"/>
      <c r="J84" s="84"/>
      <c r="K84" s="84">
        <f t="shared" si="8"/>
        <v>0</v>
      </c>
    </row>
    <row r="85" spans="1:12" x14ac:dyDescent="0.35">
      <c r="A85" s="246"/>
      <c r="B85" s="42" t="s">
        <v>175</v>
      </c>
      <c r="C85" s="43" t="s">
        <v>13</v>
      </c>
      <c r="D85" s="44">
        <f>D83*1.07</f>
        <v>193.26340000000002</v>
      </c>
      <c r="E85" s="44"/>
      <c r="F85" s="84">
        <f t="shared" si="18"/>
        <v>0</v>
      </c>
      <c r="G85" s="44"/>
      <c r="H85" s="84"/>
      <c r="I85" s="44"/>
      <c r="J85" s="84"/>
      <c r="K85" s="84">
        <f t="shared" si="8"/>
        <v>0</v>
      </c>
    </row>
    <row r="86" spans="1:12" x14ac:dyDescent="0.35">
      <c r="A86" s="246"/>
      <c r="B86" s="36" t="s">
        <v>166</v>
      </c>
      <c r="C86" s="89" t="s">
        <v>15</v>
      </c>
      <c r="D86" s="91">
        <f>(D83)*2</f>
        <v>361.24</v>
      </c>
      <c r="E86" s="91"/>
      <c r="F86" s="15">
        <f t="shared" si="18"/>
        <v>0</v>
      </c>
      <c r="G86" s="94"/>
      <c r="H86" s="84"/>
      <c r="I86" s="91"/>
      <c r="J86" s="84"/>
      <c r="K86" s="84">
        <f t="shared" si="8"/>
        <v>0</v>
      </c>
    </row>
    <row r="87" spans="1:12" x14ac:dyDescent="0.35">
      <c r="A87" s="246"/>
      <c r="B87" s="33" t="s">
        <v>167</v>
      </c>
      <c r="C87" s="89" t="s">
        <v>19</v>
      </c>
      <c r="D87" s="91">
        <f>(D83)*0.4</f>
        <v>72.248000000000005</v>
      </c>
      <c r="E87" s="91"/>
      <c r="F87" s="15">
        <f t="shared" si="18"/>
        <v>0</v>
      </c>
      <c r="G87" s="91"/>
      <c r="H87" s="84"/>
      <c r="I87" s="91"/>
      <c r="J87" s="84"/>
      <c r="K87" s="84">
        <f t="shared" si="8"/>
        <v>0</v>
      </c>
    </row>
    <row r="88" spans="1:12" x14ac:dyDescent="0.35">
      <c r="A88" s="246"/>
      <c r="B88" s="33" t="s">
        <v>168</v>
      </c>
      <c r="C88" s="89" t="s">
        <v>19</v>
      </c>
      <c r="D88" s="91">
        <f>(D83)*0.1</f>
        <v>18.062000000000001</v>
      </c>
      <c r="E88" s="91"/>
      <c r="F88" s="15">
        <f t="shared" si="18"/>
        <v>0</v>
      </c>
      <c r="G88" s="91"/>
      <c r="H88" s="84"/>
      <c r="I88" s="91"/>
      <c r="J88" s="84"/>
      <c r="K88" s="84">
        <f t="shared" si="8"/>
        <v>0</v>
      </c>
    </row>
    <row r="89" spans="1:12" x14ac:dyDescent="0.35">
      <c r="A89" s="246"/>
      <c r="B89" s="33" t="s">
        <v>169</v>
      </c>
      <c r="C89" s="89" t="s">
        <v>19</v>
      </c>
      <c r="D89" s="91">
        <f>D83*0.35</f>
        <v>63.216999999999999</v>
      </c>
      <c r="E89" s="91"/>
      <c r="F89" s="15">
        <f t="shared" si="18"/>
        <v>0</v>
      </c>
      <c r="G89" s="91"/>
      <c r="H89" s="84"/>
      <c r="I89" s="91"/>
      <c r="J89" s="84"/>
      <c r="K89" s="84">
        <f t="shared" si="8"/>
        <v>0</v>
      </c>
    </row>
    <row r="90" spans="1:12" x14ac:dyDescent="0.35">
      <c r="A90" s="246"/>
      <c r="B90" s="92" t="s">
        <v>17</v>
      </c>
      <c r="C90" s="89" t="s">
        <v>18</v>
      </c>
      <c r="D90" s="91">
        <f>(D83)*0.08</f>
        <v>14.4496</v>
      </c>
      <c r="E90" s="91"/>
      <c r="F90" s="15">
        <f t="shared" si="18"/>
        <v>0</v>
      </c>
      <c r="G90" s="91"/>
      <c r="H90" s="84"/>
      <c r="I90" s="91"/>
      <c r="J90" s="84"/>
      <c r="K90" s="84">
        <f t="shared" si="8"/>
        <v>0</v>
      </c>
    </row>
    <row r="91" spans="1:12" x14ac:dyDescent="0.35">
      <c r="A91" s="134"/>
      <c r="B91" s="57" t="s">
        <v>124</v>
      </c>
      <c r="C91" s="89"/>
      <c r="D91" s="91"/>
      <c r="E91" s="91"/>
      <c r="F91" s="91"/>
      <c r="G91" s="91"/>
      <c r="H91" s="91"/>
      <c r="I91" s="91"/>
      <c r="J91" s="91"/>
      <c r="K91" s="91"/>
    </row>
    <row r="92" spans="1:12" ht="27" x14ac:dyDescent="0.35">
      <c r="A92" s="245">
        <v>53</v>
      </c>
      <c r="B92" s="101" t="s">
        <v>208</v>
      </c>
      <c r="C92" s="86" t="s">
        <v>13</v>
      </c>
      <c r="D92" s="60">
        <f>D10+D11</f>
        <v>364</v>
      </c>
      <c r="E92" s="91"/>
      <c r="F92" s="91"/>
      <c r="G92" s="91"/>
      <c r="H92" s="91">
        <f t="shared" ref="H92" si="19">G92*D92</f>
        <v>0</v>
      </c>
      <c r="I92" s="91"/>
      <c r="J92" s="91">
        <f>I92*D92</f>
        <v>0</v>
      </c>
      <c r="K92" s="91">
        <f t="shared" ref="K92:K96" si="20">J92+H92+F92</f>
        <v>0</v>
      </c>
      <c r="L92" s="143"/>
    </row>
    <row r="93" spans="1:12" ht="27" x14ac:dyDescent="0.35">
      <c r="A93" s="246"/>
      <c r="B93" s="32" t="s">
        <v>157</v>
      </c>
      <c r="C93" s="89" t="s">
        <v>13</v>
      </c>
      <c r="D93" s="91">
        <f>D92</f>
        <v>364</v>
      </c>
      <c r="E93" s="91"/>
      <c r="F93" s="91">
        <f t="shared" ref="F93:F96" si="21">E93*D93</f>
        <v>0</v>
      </c>
      <c r="G93" s="91"/>
      <c r="H93" s="91"/>
      <c r="I93" s="91"/>
      <c r="J93" s="91"/>
      <c r="K93" s="91">
        <f t="shared" si="20"/>
        <v>0</v>
      </c>
    </row>
    <row r="94" spans="1:12" ht="40.5" x14ac:dyDescent="0.35">
      <c r="A94" s="246"/>
      <c r="B94" s="87" t="s">
        <v>79</v>
      </c>
      <c r="C94" s="89" t="s">
        <v>13</v>
      </c>
      <c r="D94" s="91">
        <f>D92*1.02</f>
        <v>371.28000000000003</v>
      </c>
      <c r="E94" s="91"/>
      <c r="F94" s="91">
        <f t="shared" si="21"/>
        <v>0</v>
      </c>
      <c r="G94" s="91"/>
      <c r="H94" s="91"/>
      <c r="I94" s="91"/>
      <c r="J94" s="91"/>
      <c r="K94" s="91">
        <f t="shared" si="20"/>
        <v>0</v>
      </c>
    </row>
    <row r="95" spans="1:12" x14ac:dyDescent="0.35">
      <c r="A95" s="246"/>
      <c r="B95" s="87" t="s">
        <v>77</v>
      </c>
      <c r="C95" s="89" t="s">
        <v>37</v>
      </c>
      <c r="D95" s="35">
        <f>D92*4</f>
        <v>1456</v>
      </c>
      <c r="E95" s="91"/>
      <c r="F95" s="91">
        <f t="shared" si="21"/>
        <v>0</v>
      </c>
      <c r="G95" s="91"/>
      <c r="H95" s="91"/>
      <c r="I95" s="91"/>
      <c r="J95" s="91"/>
      <c r="K95" s="91">
        <f t="shared" si="20"/>
        <v>0</v>
      </c>
    </row>
    <row r="96" spans="1:12" x14ac:dyDescent="0.35">
      <c r="A96" s="247"/>
      <c r="B96" s="92" t="s">
        <v>17</v>
      </c>
      <c r="C96" s="89" t="s">
        <v>18</v>
      </c>
      <c r="D96" s="91">
        <f>D92*0.07</f>
        <v>25.480000000000004</v>
      </c>
      <c r="E96" s="91"/>
      <c r="F96" s="91">
        <f t="shared" si="21"/>
        <v>0</v>
      </c>
      <c r="G96" s="91"/>
      <c r="H96" s="91"/>
      <c r="I96" s="91"/>
      <c r="J96" s="91"/>
      <c r="K96" s="91">
        <f t="shared" si="20"/>
        <v>0</v>
      </c>
    </row>
    <row r="97" spans="1:12" ht="40.5" x14ac:dyDescent="0.35">
      <c r="A97" s="245">
        <v>54</v>
      </c>
      <c r="B97" s="90" t="s">
        <v>177</v>
      </c>
      <c r="C97" s="86" t="s">
        <v>13</v>
      </c>
      <c r="D97" s="60">
        <f>D12</f>
        <v>13</v>
      </c>
      <c r="E97" s="91"/>
      <c r="F97" s="91"/>
      <c r="G97" s="91"/>
      <c r="H97" s="91">
        <f>G97*D97</f>
        <v>0</v>
      </c>
      <c r="I97" s="91"/>
      <c r="J97" s="91">
        <f>I97*D97</f>
        <v>0</v>
      </c>
      <c r="K97" s="91">
        <f>J97+H97+F97</f>
        <v>0</v>
      </c>
      <c r="L97" s="145"/>
    </row>
    <row r="98" spans="1:12" x14ac:dyDescent="0.35">
      <c r="A98" s="246"/>
      <c r="B98" s="95" t="s">
        <v>146</v>
      </c>
      <c r="C98" s="89" t="s">
        <v>13</v>
      </c>
      <c r="D98" s="91">
        <f>D97*1.05</f>
        <v>13.65</v>
      </c>
      <c r="E98" s="91"/>
      <c r="F98" s="91">
        <f>E98*D98</f>
        <v>0</v>
      </c>
      <c r="G98" s="91"/>
      <c r="H98" s="91"/>
      <c r="I98" s="91"/>
      <c r="J98" s="91"/>
      <c r="K98" s="91">
        <f t="shared" ref="K98:K101" si="22">J98+H98+F98</f>
        <v>0</v>
      </c>
    </row>
    <row r="99" spans="1:12" ht="27" x14ac:dyDescent="0.35">
      <c r="A99" s="246"/>
      <c r="B99" s="88" t="s">
        <v>147</v>
      </c>
      <c r="C99" s="89" t="s">
        <v>13</v>
      </c>
      <c r="D99" s="91">
        <f>D97</f>
        <v>13</v>
      </c>
      <c r="E99" s="91"/>
      <c r="F99" s="91">
        <f t="shared" ref="F99:F101" si="23">E99*D99</f>
        <v>0</v>
      </c>
      <c r="G99" s="91"/>
      <c r="H99" s="91"/>
      <c r="I99" s="91"/>
      <c r="J99" s="91"/>
      <c r="K99" s="91">
        <f t="shared" si="22"/>
        <v>0</v>
      </c>
    </row>
    <row r="100" spans="1:12" x14ac:dyDescent="0.35">
      <c r="A100" s="246"/>
      <c r="B100" s="88" t="s">
        <v>148</v>
      </c>
      <c r="C100" s="89" t="s">
        <v>13</v>
      </c>
      <c r="D100" s="91">
        <f>D97*1.05</f>
        <v>13.65</v>
      </c>
      <c r="E100" s="91"/>
      <c r="F100" s="91">
        <f t="shared" si="23"/>
        <v>0</v>
      </c>
      <c r="G100" s="91"/>
      <c r="H100" s="91"/>
      <c r="I100" s="91"/>
      <c r="J100" s="91"/>
      <c r="K100" s="91">
        <f t="shared" si="22"/>
        <v>0</v>
      </c>
    </row>
    <row r="101" spans="1:12" x14ac:dyDescent="0.35">
      <c r="A101" s="247"/>
      <c r="B101" s="88" t="s">
        <v>17</v>
      </c>
      <c r="C101" s="89" t="s">
        <v>18</v>
      </c>
      <c r="D101" s="91">
        <f>D97*0.1</f>
        <v>1.3</v>
      </c>
      <c r="E101" s="91"/>
      <c r="F101" s="91">
        <f t="shared" si="23"/>
        <v>0</v>
      </c>
      <c r="G101" s="91"/>
      <c r="H101" s="91"/>
      <c r="I101" s="91"/>
      <c r="J101" s="91"/>
      <c r="K101" s="91">
        <f t="shared" si="22"/>
        <v>0</v>
      </c>
    </row>
    <row r="102" spans="1:12" x14ac:dyDescent="0.35">
      <c r="A102" s="134"/>
      <c r="B102" s="54" t="s">
        <v>125</v>
      </c>
      <c r="C102" s="89"/>
      <c r="D102" s="91"/>
      <c r="E102" s="91"/>
      <c r="F102" s="84"/>
      <c r="G102" s="91"/>
      <c r="H102" s="84"/>
      <c r="I102" s="91"/>
      <c r="J102" s="84"/>
      <c r="K102" s="84"/>
    </row>
    <row r="103" spans="1:12" ht="40.5" x14ac:dyDescent="0.35">
      <c r="A103" s="56">
        <v>55</v>
      </c>
      <c r="B103" s="90" t="s">
        <v>210</v>
      </c>
      <c r="C103" s="86" t="s">
        <v>14</v>
      </c>
      <c r="D103" s="60">
        <v>33</v>
      </c>
      <c r="E103" s="91"/>
      <c r="F103" s="84">
        <f t="shared" ref="F103:F107" si="24">E103*D103</f>
        <v>0</v>
      </c>
      <c r="G103" s="91"/>
      <c r="H103" s="84">
        <f t="shared" ref="H103:H107" si="25">G103*D103</f>
        <v>0</v>
      </c>
      <c r="I103" s="91"/>
      <c r="J103" s="84">
        <f t="shared" ref="J103:J107" si="26">I103*D103</f>
        <v>0</v>
      </c>
      <c r="K103" s="84">
        <f t="shared" ref="K103:K107" si="27">J103+H103+F103</f>
        <v>0</v>
      </c>
      <c r="L103" s="138" t="s">
        <v>209</v>
      </c>
    </row>
    <row r="104" spans="1:12" ht="27" x14ac:dyDescent="0.35">
      <c r="A104" s="56">
        <v>56</v>
      </c>
      <c r="B104" s="90" t="s">
        <v>211</v>
      </c>
      <c r="C104" s="86" t="s">
        <v>14</v>
      </c>
      <c r="D104" s="107">
        <v>20</v>
      </c>
      <c r="E104" s="91"/>
      <c r="F104" s="84">
        <f t="shared" si="24"/>
        <v>0</v>
      </c>
      <c r="G104" s="91"/>
      <c r="H104" s="84">
        <f t="shared" si="25"/>
        <v>0</v>
      </c>
      <c r="I104" s="91"/>
      <c r="J104" s="84">
        <f t="shared" si="26"/>
        <v>0</v>
      </c>
      <c r="K104" s="84">
        <f t="shared" si="27"/>
        <v>0</v>
      </c>
      <c r="L104" s="138" t="s">
        <v>195</v>
      </c>
    </row>
    <row r="105" spans="1:12" s="154" customFormat="1" ht="67.5" x14ac:dyDescent="0.35">
      <c r="A105" s="149">
        <v>57</v>
      </c>
      <c r="B105" s="158" t="s">
        <v>187</v>
      </c>
      <c r="C105" s="159" t="s">
        <v>14</v>
      </c>
      <c r="D105" s="160">
        <v>1</v>
      </c>
      <c r="E105" s="161"/>
      <c r="F105" s="152">
        <f t="shared" si="24"/>
        <v>0</v>
      </c>
      <c r="G105" s="161"/>
      <c r="H105" s="152">
        <f t="shared" si="25"/>
        <v>0</v>
      </c>
      <c r="I105" s="161"/>
      <c r="J105" s="152">
        <f t="shared" si="26"/>
        <v>0</v>
      </c>
      <c r="K105" s="152">
        <f t="shared" si="27"/>
        <v>0</v>
      </c>
      <c r="L105" s="162" t="s">
        <v>194</v>
      </c>
    </row>
    <row r="106" spans="1:12" s="154" customFormat="1" ht="67.5" x14ac:dyDescent="0.35">
      <c r="A106" s="149">
        <v>58</v>
      </c>
      <c r="B106" s="158" t="s">
        <v>188</v>
      </c>
      <c r="C106" s="159" t="s">
        <v>14</v>
      </c>
      <c r="D106" s="160">
        <v>1</v>
      </c>
      <c r="E106" s="161"/>
      <c r="F106" s="152">
        <f t="shared" si="24"/>
        <v>0</v>
      </c>
      <c r="G106" s="161"/>
      <c r="H106" s="152">
        <f t="shared" si="25"/>
        <v>0</v>
      </c>
      <c r="I106" s="161"/>
      <c r="J106" s="152">
        <f t="shared" si="26"/>
        <v>0</v>
      </c>
      <c r="K106" s="152">
        <f t="shared" si="27"/>
        <v>0</v>
      </c>
      <c r="L106" s="162" t="s">
        <v>194</v>
      </c>
    </row>
    <row r="107" spans="1:12" ht="27" x14ac:dyDescent="0.35">
      <c r="A107" s="134">
        <v>61</v>
      </c>
      <c r="B107" s="20" t="s">
        <v>130</v>
      </c>
      <c r="C107" s="56" t="s">
        <v>126</v>
      </c>
      <c r="D107" s="97">
        <v>11.6</v>
      </c>
      <c r="E107" s="91"/>
      <c r="F107" s="84">
        <f t="shared" si="24"/>
        <v>0</v>
      </c>
      <c r="G107" s="91"/>
      <c r="H107" s="84">
        <f t="shared" si="25"/>
        <v>0</v>
      </c>
      <c r="I107" s="91"/>
      <c r="J107" s="84">
        <f t="shared" si="26"/>
        <v>0</v>
      </c>
      <c r="K107" s="84">
        <f t="shared" si="27"/>
        <v>0</v>
      </c>
    </row>
    <row r="108" spans="1:12" x14ac:dyDescent="0.35">
      <c r="A108" s="134"/>
      <c r="B108" s="54" t="s">
        <v>131</v>
      </c>
      <c r="C108" s="89"/>
      <c r="D108" s="91"/>
      <c r="E108" s="91"/>
      <c r="F108" s="84"/>
      <c r="G108" s="91"/>
      <c r="H108" s="84"/>
      <c r="I108" s="91"/>
      <c r="J108" s="84"/>
      <c r="K108" s="84"/>
    </row>
    <row r="109" spans="1:12" ht="27" x14ac:dyDescent="0.35">
      <c r="A109" s="245">
        <v>64</v>
      </c>
      <c r="B109" s="20" t="s">
        <v>212</v>
      </c>
      <c r="C109" s="86" t="s">
        <v>13</v>
      </c>
      <c r="D109" s="60">
        <v>2568</v>
      </c>
      <c r="E109" s="84"/>
      <c r="F109" s="84"/>
      <c r="G109" s="84"/>
      <c r="H109" s="84">
        <f>G109*D109</f>
        <v>0</v>
      </c>
      <c r="I109" s="84"/>
      <c r="J109" s="84">
        <f>I109*D109</f>
        <v>0</v>
      </c>
      <c r="K109" s="84">
        <f t="shared" ref="K109:K131" si="28">J109+H109+F109</f>
        <v>0</v>
      </c>
    </row>
    <row r="110" spans="1:12" x14ac:dyDescent="0.35">
      <c r="A110" s="246"/>
      <c r="B110" s="9" t="s">
        <v>56</v>
      </c>
      <c r="C110" s="10" t="s">
        <v>19</v>
      </c>
      <c r="D110" s="93">
        <f>0.7*D109</f>
        <v>1797.6</v>
      </c>
      <c r="E110" s="84"/>
      <c r="F110" s="84">
        <f t="shared" ref="F110:F116" si="29">E110*D110</f>
        <v>0</v>
      </c>
      <c r="G110" s="84"/>
      <c r="H110" s="84"/>
      <c r="I110" s="84"/>
      <c r="J110" s="84"/>
      <c r="K110" s="84">
        <f t="shared" si="28"/>
        <v>0</v>
      </c>
    </row>
    <row r="111" spans="1:12" x14ac:dyDescent="0.35">
      <c r="A111" s="246"/>
      <c r="B111" s="87" t="s">
        <v>150</v>
      </c>
      <c r="C111" s="10" t="s">
        <v>19</v>
      </c>
      <c r="D111" s="93">
        <f>D109*0.4</f>
        <v>1027.2</v>
      </c>
      <c r="E111" s="84"/>
      <c r="F111" s="84">
        <f t="shared" si="29"/>
        <v>0</v>
      </c>
      <c r="G111" s="84"/>
      <c r="H111" s="84"/>
      <c r="I111" s="84"/>
      <c r="J111" s="84"/>
      <c r="K111" s="84">
        <f t="shared" si="28"/>
        <v>0</v>
      </c>
    </row>
    <row r="112" spans="1:12" x14ac:dyDescent="0.35">
      <c r="A112" s="246"/>
      <c r="B112" s="87" t="s">
        <v>81</v>
      </c>
      <c r="C112" s="10" t="s">
        <v>19</v>
      </c>
      <c r="D112" s="93">
        <f>D109*0.15</f>
        <v>385.2</v>
      </c>
      <c r="E112" s="84"/>
      <c r="F112" s="84">
        <f t="shared" si="29"/>
        <v>0</v>
      </c>
      <c r="G112" s="84"/>
      <c r="H112" s="84"/>
      <c r="I112" s="84"/>
      <c r="J112" s="84"/>
      <c r="K112" s="84">
        <f t="shared" si="28"/>
        <v>0</v>
      </c>
    </row>
    <row r="113" spans="1:11" x14ac:dyDescent="0.35">
      <c r="A113" s="246"/>
      <c r="B113" s="9" t="s">
        <v>57</v>
      </c>
      <c r="C113" s="10" t="s">
        <v>13</v>
      </c>
      <c r="D113" s="84">
        <f>0.009*D109</f>
        <v>23.111999999999998</v>
      </c>
      <c r="E113" s="84"/>
      <c r="F113" s="84">
        <f t="shared" si="29"/>
        <v>0</v>
      </c>
      <c r="G113" s="84"/>
      <c r="H113" s="84"/>
      <c r="I113" s="84"/>
      <c r="J113" s="84"/>
      <c r="K113" s="84">
        <f t="shared" si="28"/>
        <v>0</v>
      </c>
    </row>
    <row r="114" spans="1:11" x14ac:dyDescent="0.35">
      <c r="A114" s="246"/>
      <c r="B114" s="9" t="s">
        <v>73</v>
      </c>
      <c r="C114" s="10" t="s">
        <v>15</v>
      </c>
      <c r="D114" s="93">
        <v>1300</v>
      </c>
      <c r="E114" s="84"/>
      <c r="F114" s="84">
        <f t="shared" si="29"/>
        <v>0</v>
      </c>
      <c r="G114" s="84"/>
      <c r="H114" s="84"/>
      <c r="I114" s="84"/>
      <c r="J114" s="84"/>
      <c r="K114" s="84">
        <f t="shared" si="28"/>
        <v>0</v>
      </c>
    </row>
    <row r="115" spans="1:11" x14ac:dyDescent="0.35">
      <c r="A115" s="246"/>
      <c r="B115" s="9" t="s">
        <v>72</v>
      </c>
      <c r="C115" s="10" t="s">
        <v>15</v>
      </c>
      <c r="D115" s="93">
        <f>0.26*D109</f>
        <v>667.68000000000006</v>
      </c>
      <c r="E115" s="84"/>
      <c r="F115" s="84">
        <f t="shared" si="29"/>
        <v>0</v>
      </c>
      <c r="G115" s="84"/>
      <c r="H115" s="84"/>
      <c r="I115" s="84"/>
      <c r="J115" s="84"/>
      <c r="K115" s="84">
        <f t="shared" si="28"/>
        <v>0</v>
      </c>
    </row>
    <row r="116" spans="1:11" x14ac:dyDescent="0.35">
      <c r="A116" s="247"/>
      <c r="B116" s="9" t="s">
        <v>17</v>
      </c>
      <c r="C116" s="10" t="s">
        <v>18</v>
      </c>
      <c r="D116" s="84">
        <f>D109*0.01</f>
        <v>25.68</v>
      </c>
      <c r="E116" s="84"/>
      <c r="F116" s="84">
        <f t="shared" si="29"/>
        <v>0</v>
      </c>
      <c r="G116" s="84"/>
      <c r="H116" s="84"/>
      <c r="I116" s="84"/>
      <c r="J116" s="84"/>
      <c r="K116" s="84">
        <f t="shared" si="28"/>
        <v>0</v>
      </c>
    </row>
    <row r="117" spans="1:11" ht="27" x14ac:dyDescent="0.35">
      <c r="A117" s="245">
        <v>65</v>
      </c>
      <c r="B117" s="90" t="s">
        <v>214</v>
      </c>
      <c r="C117" s="56" t="s">
        <v>13</v>
      </c>
      <c r="D117" s="97">
        <f>410-120</f>
        <v>290</v>
      </c>
      <c r="E117" s="91"/>
      <c r="F117" s="91"/>
      <c r="G117" s="91"/>
      <c r="H117" s="91">
        <f>G117*D117</f>
        <v>0</v>
      </c>
      <c r="I117" s="91"/>
      <c r="J117" s="91">
        <f>I117*D117</f>
        <v>0</v>
      </c>
      <c r="K117" s="91">
        <f t="shared" si="28"/>
        <v>0</v>
      </c>
    </row>
    <row r="118" spans="1:11" x14ac:dyDescent="0.35">
      <c r="A118" s="246"/>
      <c r="B118" s="92" t="s">
        <v>56</v>
      </c>
      <c r="C118" s="89" t="s">
        <v>19</v>
      </c>
      <c r="D118" s="91">
        <f>0.7*D117</f>
        <v>203</v>
      </c>
      <c r="E118" s="91"/>
      <c r="F118" s="91">
        <f t="shared" ref="F118:F124" si="30">E118*D118</f>
        <v>0</v>
      </c>
      <c r="G118" s="91"/>
      <c r="H118" s="91"/>
      <c r="I118" s="91"/>
      <c r="J118" s="91"/>
      <c r="K118" s="91">
        <f t="shared" si="28"/>
        <v>0</v>
      </c>
    </row>
    <row r="119" spans="1:11" x14ac:dyDescent="0.35">
      <c r="A119" s="246"/>
      <c r="B119" s="87" t="s">
        <v>84</v>
      </c>
      <c r="C119" s="89" t="s">
        <v>19</v>
      </c>
      <c r="D119" s="91">
        <f>D117*0.4</f>
        <v>116</v>
      </c>
      <c r="E119" s="91"/>
      <c r="F119" s="91">
        <f t="shared" si="30"/>
        <v>0</v>
      </c>
      <c r="G119" s="91"/>
      <c r="H119" s="91"/>
      <c r="I119" s="91"/>
      <c r="J119" s="91"/>
      <c r="K119" s="91">
        <f t="shared" si="28"/>
        <v>0</v>
      </c>
    </row>
    <row r="120" spans="1:11" x14ac:dyDescent="0.35">
      <c r="A120" s="246"/>
      <c r="B120" s="87" t="s">
        <v>81</v>
      </c>
      <c r="C120" s="89" t="s">
        <v>19</v>
      </c>
      <c r="D120" s="91">
        <f>D117*0.15</f>
        <v>43.5</v>
      </c>
      <c r="E120" s="91"/>
      <c r="F120" s="91">
        <f t="shared" si="30"/>
        <v>0</v>
      </c>
      <c r="G120" s="91"/>
      <c r="H120" s="91"/>
      <c r="I120" s="91"/>
      <c r="J120" s="91"/>
      <c r="K120" s="91">
        <f t="shared" si="28"/>
        <v>0</v>
      </c>
    </row>
    <row r="121" spans="1:11" x14ac:dyDescent="0.35">
      <c r="A121" s="246"/>
      <c r="B121" s="92" t="s">
        <v>57</v>
      </c>
      <c r="C121" s="89" t="s">
        <v>13</v>
      </c>
      <c r="D121" s="91">
        <f>0.009*D117</f>
        <v>2.61</v>
      </c>
      <c r="E121" s="91"/>
      <c r="F121" s="91">
        <f t="shared" si="30"/>
        <v>0</v>
      </c>
      <c r="G121" s="91"/>
      <c r="H121" s="91"/>
      <c r="I121" s="91"/>
      <c r="J121" s="91"/>
      <c r="K121" s="91">
        <f t="shared" si="28"/>
        <v>0</v>
      </c>
    </row>
    <row r="122" spans="1:11" x14ac:dyDescent="0.35">
      <c r="A122" s="246"/>
      <c r="B122" s="92" t="s">
        <v>73</v>
      </c>
      <c r="C122" s="89" t="s">
        <v>15</v>
      </c>
      <c r="D122" s="91">
        <v>1300</v>
      </c>
      <c r="E122" s="91"/>
      <c r="F122" s="91">
        <f t="shared" si="30"/>
        <v>0</v>
      </c>
      <c r="G122" s="91"/>
      <c r="H122" s="91"/>
      <c r="I122" s="91"/>
      <c r="J122" s="91"/>
      <c r="K122" s="91">
        <f t="shared" si="28"/>
        <v>0</v>
      </c>
    </row>
    <row r="123" spans="1:11" x14ac:dyDescent="0.35">
      <c r="A123" s="246"/>
      <c r="B123" s="92" t="s">
        <v>72</v>
      </c>
      <c r="C123" s="89" t="s">
        <v>15</v>
      </c>
      <c r="D123" s="91">
        <f>0.26*D117</f>
        <v>75.400000000000006</v>
      </c>
      <c r="E123" s="91"/>
      <c r="F123" s="91">
        <f t="shared" si="30"/>
        <v>0</v>
      </c>
      <c r="G123" s="91"/>
      <c r="H123" s="91"/>
      <c r="I123" s="91"/>
      <c r="J123" s="91"/>
      <c r="K123" s="91">
        <f t="shared" si="28"/>
        <v>0</v>
      </c>
    </row>
    <row r="124" spans="1:11" x14ac:dyDescent="0.35">
      <c r="A124" s="247"/>
      <c r="B124" s="92" t="s">
        <v>17</v>
      </c>
      <c r="C124" s="89" t="s">
        <v>18</v>
      </c>
      <c r="D124" s="91">
        <f>D117*0.01</f>
        <v>2.9</v>
      </c>
      <c r="E124" s="91"/>
      <c r="F124" s="91">
        <f t="shared" si="30"/>
        <v>0</v>
      </c>
      <c r="G124" s="91"/>
      <c r="H124" s="91"/>
      <c r="I124" s="91"/>
      <c r="J124" s="91"/>
      <c r="K124" s="91">
        <f t="shared" si="28"/>
        <v>0</v>
      </c>
    </row>
    <row r="125" spans="1:11" ht="27" x14ac:dyDescent="0.35">
      <c r="A125" s="245">
        <v>66</v>
      </c>
      <c r="B125" s="90" t="s">
        <v>213</v>
      </c>
      <c r="C125" s="56" t="s">
        <v>13</v>
      </c>
      <c r="D125" s="97">
        <f>D79*1.1</f>
        <v>180.62</v>
      </c>
      <c r="E125" s="91"/>
      <c r="F125" s="91"/>
      <c r="G125" s="91"/>
      <c r="H125" s="91">
        <f>G125*D125</f>
        <v>0</v>
      </c>
      <c r="I125" s="91"/>
      <c r="J125" s="91">
        <f>I125*D125</f>
        <v>0</v>
      </c>
      <c r="K125" s="91">
        <f t="shared" si="28"/>
        <v>0</v>
      </c>
    </row>
    <row r="126" spans="1:11" x14ac:dyDescent="0.35">
      <c r="A126" s="246"/>
      <c r="B126" s="92" t="s">
        <v>56</v>
      </c>
      <c r="C126" s="89" t="s">
        <v>19</v>
      </c>
      <c r="D126" s="91">
        <f>0.7*D125</f>
        <v>126.434</v>
      </c>
      <c r="E126" s="91"/>
      <c r="F126" s="91">
        <f t="shared" ref="F126:F131" si="31">E126*D126</f>
        <v>0</v>
      </c>
      <c r="G126" s="91"/>
      <c r="H126" s="91"/>
      <c r="I126" s="91"/>
      <c r="J126" s="91"/>
      <c r="K126" s="91">
        <f t="shared" si="28"/>
        <v>0</v>
      </c>
    </row>
    <row r="127" spans="1:11" x14ac:dyDescent="0.35">
      <c r="A127" s="246"/>
      <c r="B127" s="87" t="s">
        <v>84</v>
      </c>
      <c r="C127" s="89" t="s">
        <v>19</v>
      </c>
      <c r="D127" s="91">
        <f>D125*0.4</f>
        <v>72.248000000000005</v>
      </c>
      <c r="E127" s="91"/>
      <c r="F127" s="91">
        <f t="shared" si="31"/>
        <v>0</v>
      </c>
      <c r="G127" s="91"/>
      <c r="H127" s="91"/>
      <c r="I127" s="91"/>
      <c r="J127" s="91"/>
      <c r="K127" s="91">
        <f t="shared" si="28"/>
        <v>0</v>
      </c>
    </row>
    <row r="128" spans="1:11" x14ac:dyDescent="0.35">
      <c r="A128" s="246"/>
      <c r="B128" s="87" t="s">
        <v>81</v>
      </c>
      <c r="C128" s="89" t="s">
        <v>19</v>
      </c>
      <c r="D128" s="91">
        <f>D125*0.15</f>
        <v>27.093</v>
      </c>
      <c r="E128" s="91"/>
      <c r="F128" s="91">
        <f t="shared" si="31"/>
        <v>0</v>
      </c>
      <c r="G128" s="91"/>
      <c r="H128" s="91"/>
      <c r="I128" s="91"/>
      <c r="J128" s="91"/>
      <c r="K128" s="91">
        <f t="shared" si="28"/>
        <v>0</v>
      </c>
    </row>
    <row r="129" spans="1:12" x14ac:dyDescent="0.35">
      <c r="A129" s="246"/>
      <c r="B129" s="92" t="s">
        <v>57</v>
      </c>
      <c r="C129" s="89" t="s">
        <v>13</v>
      </c>
      <c r="D129" s="91">
        <f>0.009*D125</f>
        <v>1.62558</v>
      </c>
      <c r="E129" s="91"/>
      <c r="F129" s="91">
        <f t="shared" si="31"/>
        <v>0</v>
      </c>
      <c r="G129" s="91"/>
      <c r="H129" s="91"/>
      <c r="I129" s="91"/>
      <c r="J129" s="91"/>
      <c r="K129" s="91">
        <f t="shared" si="28"/>
        <v>0</v>
      </c>
    </row>
    <row r="130" spans="1:12" x14ac:dyDescent="0.35">
      <c r="A130" s="246"/>
      <c r="B130" s="92" t="s">
        <v>73</v>
      </c>
      <c r="C130" s="89" t="s">
        <v>15</v>
      </c>
      <c r="D130" s="91">
        <v>1300</v>
      </c>
      <c r="E130" s="91"/>
      <c r="F130" s="91">
        <f t="shared" si="31"/>
        <v>0</v>
      </c>
      <c r="G130" s="91"/>
      <c r="H130" s="91"/>
      <c r="I130" s="91"/>
      <c r="J130" s="91"/>
      <c r="K130" s="91">
        <f t="shared" si="28"/>
        <v>0</v>
      </c>
    </row>
    <row r="131" spans="1:12" x14ac:dyDescent="0.35">
      <c r="A131" s="247"/>
      <c r="B131" s="92" t="s">
        <v>17</v>
      </c>
      <c r="C131" s="89" t="s">
        <v>18</v>
      </c>
      <c r="D131" s="91">
        <f>D125*0.01</f>
        <v>1.8062</v>
      </c>
      <c r="E131" s="91"/>
      <c r="F131" s="91">
        <f t="shared" si="31"/>
        <v>0</v>
      </c>
      <c r="G131" s="91"/>
      <c r="H131" s="91"/>
      <c r="I131" s="91"/>
      <c r="J131" s="91"/>
      <c r="K131" s="91">
        <f t="shared" si="28"/>
        <v>0</v>
      </c>
    </row>
    <row r="132" spans="1:12" ht="16.5" customHeight="1" x14ac:dyDescent="0.35">
      <c r="A132" s="56"/>
      <c r="B132" s="55" t="s">
        <v>62</v>
      </c>
      <c r="C132" s="89"/>
      <c r="D132" s="91"/>
      <c r="E132" s="91"/>
      <c r="F132" s="84"/>
      <c r="G132" s="91"/>
      <c r="H132" s="84"/>
      <c r="I132" s="91"/>
      <c r="J132" s="84"/>
      <c r="K132" s="84"/>
    </row>
    <row r="133" spans="1:12" ht="40.5" x14ac:dyDescent="0.35">
      <c r="A133" s="56">
        <v>74</v>
      </c>
      <c r="B133" s="87" t="s">
        <v>153</v>
      </c>
      <c r="C133" s="89" t="s">
        <v>14</v>
      </c>
      <c r="D133" s="103">
        <f>ROUNDDOWN(D22*0.15,0)</f>
        <v>5</v>
      </c>
      <c r="E133" s="91"/>
      <c r="F133" s="84">
        <f t="shared" ref="F133:F161" si="32">E133*D133</f>
        <v>0</v>
      </c>
      <c r="G133" s="91"/>
      <c r="H133" s="84">
        <f t="shared" ref="H133:H163" si="33">G133*D133</f>
        <v>0</v>
      </c>
      <c r="I133" s="91"/>
      <c r="J133" s="84">
        <f t="shared" ref="J133:J163" si="34">I133*D133</f>
        <v>0</v>
      </c>
      <c r="K133" s="84">
        <f t="shared" ref="K133:K163" si="35">J133+H133+F133</f>
        <v>0</v>
      </c>
    </row>
    <row r="134" spans="1:12" ht="54" x14ac:dyDescent="0.35">
      <c r="A134" s="56">
        <v>75</v>
      </c>
      <c r="B134" s="87" t="s">
        <v>133</v>
      </c>
      <c r="C134" s="89" t="s">
        <v>14</v>
      </c>
      <c r="D134" s="103">
        <f>ROUNDDOWN(D23*0.15,0)</f>
        <v>7</v>
      </c>
      <c r="E134" s="91"/>
      <c r="F134" s="84">
        <f t="shared" si="32"/>
        <v>0</v>
      </c>
      <c r="G134" s="91"/>
      <c r="H134" s="84">
        <f t="shared" si="33"/>
        <v>0</v>
      </c>
      <c r="I134" s="91"/>
      <c r="J134" s="84">
        <f t="shared" si="34"/>
        <v>0</v>
      </c>
      <c r="K134" s="84">
        <f t="shared" si="35"/>
        <v>0</v>
      </c>
    </row>
    <row r="135" spans="1:12" x14ac:dyDescent="0.35">
      <c r="A135" s="56">
        <v>76</v>
      </c>
      <c r="B135" s="87" t="s">
        <v>83</v>
      </c>
      <c r="C135" s="89" t="s">
        <v>14</v>
      </c>
      <c r="D135" s="103">
        <v>42</v>
      </c>
      <c r="E135" s="91"/>
      <c r="F135" s="84">
        <f t="shared" si="32"/>
        <v>0</v>
      </c>
      <c r="G135" s="91"/>
      <c r="H135" s="84">
        <f t="shared" si="33"/>
        <v>0</v>
      </c>
      <c r="I135" s="91"/>
      <c r="J135" s="84">
        <f t="shared" si="34"/>
        <v>0</v>
      </c>
      <c r="K135" s="84">
        <f t="shared" si="35"/>
        <v>0</v>
      </c>
    </row>
    <row r="136" spans="1:12" s="154" customFormat="1" x14ac:dyDescent="0.35">
      <c r="A136" s="149">
        <v>77</v>
      </c>
      <c r="B136" s="150" t="s">
        <v>66</v>
      </c>
      <c r="C136" s="163" t="s">
        <v>14</v>
      </c>
      <c r="D136" s="161">
        <v>42</v>
      </c>
      <c r="E136" s="161"/>
      <c r="F136" s="152">
        <f t="shared" si="32"/>
        <v>0</v>
      </c>
      <c r="G136" s="161"/>
      <c r="H136" s="152">
        <f t="shared" si="33"/>
        <v>0</v>
      </c>
      <c r="I136" s="161"/>
      <c r="J136" s="152">
        <f t="shared" si="34"/>
        <v>0</v>
      </c>
      <c r="K136" s="152">
        <f t="shared" si="35"/>
        <v>0</v>
      </c>
      <c r="L136" s="164"/>
    </row>
    <row r="137" spans="1:12" ht="27" x14ac:dyDescent="0.35">
      <c r="A137" s="56">
        <v>78</v>
      </c>
      <c r="B137" s="87" t="s">
        <v>132</v>
      </c>
      <c r="C137" s="89" t="s">
        <v>14</v>
      </c>
      <c r="D137" s="91">
        <v>1</v>
      </c>
      <c r="E137" s="91"/>
      <c r="F137" s="84">
        <f t="shared" si="32"/>
        <v>0</v>
      </c>
      <c r="G137" s="91"/>
      <c r="H137" s="84">
        <f t="shared" si="33"/>
        <v>0</v>
      </c>
      <c r="I137" s="91"/>
      <c r="J137" s="84">
        <f t="shared" si="34"/>
        <v>0</v>
      </c>
      <c r="K137" s="84">
        <f t="shared" si="35"/>
        <v>0</v>
      </c>
    </row>
    <row r="138" spans="1:12" ht="27" x14ac:dyDescent="0.35">
      <c r="A138" s="56">
        <v>79</v>
      </c>
      <c r="B138" s="87" t="s">
        <v>154</v>
      </c>
      <c r="C138" s="89" t="s">
        <v>14</v>
      </c>
      <c r="D138" s="91">
        <v>6</v>
      </c>
      <c r="E138" s="91"/>
      <c r="F138" s="84">
        <f t="shared" si="32"/>
        <v>0</v>
      </c>
      <c r="G138" s="91"/>
      <c r="H138" s="84">
        <f t="shared" si="33"/>
        <v>0</v>
      </c>
      <c r="I138" s="91"/>
      <c r="J138" s="84">
        <f t="shared" si="34"/>
        <v>0</v>
      </c>
      <c r="K138" s="84">
        <f t="shared" si="35"/>
        <v>0</v>
      </c>
    </row>
    <row r="139" spans="1:12" x14ac:dyDescent="0.35">
      <c r="A139" s="112"/>
      <c r="B139" s="87" t="s">
        <v>64</v>
      </c>
      <c r="C139" s="89" t="s">
        <v>14</v>
      </c>
      <c r="D139" s="91">
        <v>220</v>
      </c>
      <c r="E139" s="91"/>
      <c r="F139" s="84">
        <f t="shared" si="32"/>
        <v>0</v>
      </c>
      <c r="G139" s="91"/>
      <c r="H139" s="84"/>
      <c r="I139" s="91"/>
      <c r="J139" s="84"/>
      <c r="K139" s="84">
        <f t="shared" si="35"/>
        <v>0</v>
      </c>
    </row>
    <row r="140" spans="1:12" x14ac:dyDescent="0.35">
      <c r="A140" s="56"/>
      <c r="B140" s="57" t="s">
        <v>155</v>
      </c>
      <c r="C140" s="89"/>
      <c r="D140" s="91"/>
      <c r="E140" s="91"/>
      <c r="F140" s="84"/>
      <c r="G140" s="91"/>
      <c r="H140" s="84"/>
      <c r="I140" s="91"/>
      <c r="J140" s="84"/>
      <c r="K140" s="84"/>
    </row>
    <row r="141" spans="1:12" x14ac:dyDescent="0.35">
      <c r="A141" s="86">
        <v>80</v>
      </c>
      <c r="B141" s="73" t="s">
        <v>135</v>
      </c>
      <c r="C141" s="86" t="s">
        <v>104</v>
      </c>
      <c r="D141" s="60">
        <v>14</v>
      </c>
      <c r="E141" s="91"/>
      <c r="F141" s="84">
        <f t="shared" si="32"/>
        <v>0</v>
      </c>
      <c r="G141" s="91"/>
      <c r="H141" s="84">
        <f>G141*D141</f>
        <v>0</v>
      </c>
      <c r="I141" s="91"/>
      <c r="J141" s="84">
        <f>I141*D141</f>
        <v>0</v>
      </c>
      <c r="K141" s="84">
        <f t="shared" si="35"/>
        <v>0</v>
      </c>
    </row>
    <row r="142" spans="1:12" ht="27" x14ac:dyDescent="0.35">
      <c r="A142" s="86">
        <v>81</v>
      </c>
      <c r="B142" s="20" t="s">
        <v>156</v>
      </c>
      <c r="C142" s="86" t="s">
        <v>104</v>
      </c>
      <c r="D142" s="60">
        <v>7</v>
      </c>
      <c r="E142" s="91"/>
      <c r="F142" s="84">
        <f t="shared" si="32"/>
        <v>0</v>
      </c>
      <c r="G142" s="91"/>
      <c r="H142" s="84">
        <f>G142*D142</f>
        <v>0</v>
      </c>
      <c r="I142" s="91"/>
      <c r="J142" s="84">
        <f>I142*D142</f>
        <v>0</v>
      </c>
      <c r="K142" s="84">
        <f t="shared" si="35"/>
        <v>0</v>
      </c>
    </row>
    <row r="143" spans="1:12" x14ac:dyDescent="0.35">
      <c r="A143" s="10"/>
      <c r="B143" s="33" t="s">
        <v>34</v>
      </c>
      <c r="C143" s="89" t="s">
        <v>18</v>
      </c>
      <c r="D143" s="91">
        <f>(D142+D141)*0.5</f>
        <v>10.5</v>
      </c>
      <c r="E143" s="91"/>
      <c r="F143" s="84">
        <f t="shared" si="32"/>
        <v>0</v>
      </c>
      <c r="G143" s="91"/>
      <c r="H143" s="84"/>
      <c r="I143" s="91"/>
      <c r="J143" s="84"/>
      <c r="K143" s="84">
        <f t="shared" si="35"/>
        <v>0</v>
      </c>
    </row>
    <row r="144" spans="1:12" ht="18" customHeight="1" x14ac:dyDescent="0.35">
      <c r="A144" s="56"/>
      <c r="B144" s="57" t="s">
        <v>67</v>
      </c>
      <c r="C144" s="89"/>
      <c r="D144" s="91"/>
      <c r="E144" s="91"/>
      <c r="F144" s="84"/>
      <c r="G144" s="91"/>
      <c r="H144" s="84"/>
      <c r="I144" s="91"/>
      <c r="J144" s="84"/>
      <c r="K144" s="84"/>
    </row>
    <row r="145" spans="1:11" ht="15.75" customHeight="1" x14ac:dyDescent="0.35">
      <c r="A145" s="245">
        <v>82</v>
      </c>
      <c r="B145" s="18" t="s">
        <v>92</v>
      </c>
      <c r="C145" s="10" t="s">
        <v>14</v>
      </c>
      <c r="D145" s="58">
        <v>2</v>
      </c>
      <c r="E145" s="84"/>
      <c r="F145" s="84">
        <f t="shared" si="32"/>
        <v>0</v>
      </c>
      <c r="G145" s="84"/>
      <c r="H145" s="84">
        <f t="shared" si="33"/>
        <v>0</v>
      </c>
      <c r="I145" s="76"/>
      <c r="J145" s="84">
        <f t="shared" si="34"/>
        <v>0</v>
      </c>
      <c r="K145" s="84">
        <f t="shared" si="35"/>
        <v>0</v>
      </c>
    </row>
    <row r="146" spans="1:11" ht="15.75" customHeight="1" x14ac:dyDescent="0.35">
      <c r="A146" s="246"/>
      <c r="B146" s="51" t="s">
        <v>85</v>
      </c>
      <c r="C146" s="15" t="s">
        <v>37</v>
      </c>
      <c r="D146" s="58">
        <v>7</v>
      </c>
      <c r="E146" s="84"/>
      <c r="F146" s="84">
        <f t="shared" si="32"/>
        <v>0</v>
      </c>
      <c r="G146" s="84"/>
      <c r="H146" s="84">
        <f t="shared" si="33"/>
        <v>0</v>
      </c>
      <c r="I146" s="76"/>
      <c r="J146" s="84">
        <f t="shared" si="34"/>
        <v>0</v>
      </c>
      <c r="K146" s="84">
        <f t="shared" si="35"/>
        <v>0</v>
      </c>
    </row>
    <row r="147" spans="1:11" ht="15.75" customHeight="1" x14ac:dyDescent="0.35">
      <c r="A147" s="246"/>
      <c r="B147" s="49" t="s">
        <v>86</v>
      </c>
      <c r="C147" s="15" t="s">
        <v>37</v>
      </c>
      <c r="D147" s="58">
        <v>2</v>
      </c>
      <c r="E147" s="84"/>
      <c r="F147" s="84">
        <f t="shared" si="32"/>
        <v>0</v>
      </c>
      <c r="G147" s="84"/>
      <c r="H147" s="84">
        <f t="shared" si="33"/>
        <v>0</v>
      </c>
      <c r="I147" s="76"/>
      <c r="J147" s="84">
        <f t="shared" si="34"/>
        <v>0</v>
      </c>
      <c r="K147" s="84">
        <f t="shared" si="35"/>
        <v>0</v>
      </c>
    </row>
    <row r="148" spans="1:11" ht="15.75" customHeight="1" x14ac:dyDescent="0.35">
      <c r="A148" s="246"/>
      <c r="B148" s="49" t="s">
        <v>87</v>
      </c>
      <c r="C148" s="15" t="s">
        <v>37</v>
      </c>
      <c r="D148" s="58">
        <v>2</v>
      </c>
      <c r="E148" s="84"/>
      <c r="F148" s="84">
        <f t="shared" si="32"/>
        <v>0</v>
      </c>
      <c r="G148" s="84"/>
      <c r="H148" s="84">
        <f t="shared" si="33"/>
        <v>0</v>
      </c>
      <c r="I148" s="76"/>
      <c r="J148" s="84">
        <f t="shared" si="34"/>
        <v>0</v>
      </c>
      <c r="K148" s="84">
        <f t="shared" si="35"/>
        <v>0</v>
      </c>
    </row>
    <row r="149" spans="1:11" ht="15.75" customHeight="1" x14ac:dyDescent="0.35">
      <c r="A149" s="246"/>
      <c r="B149" s="49" t="s">
        <v>88</v>
      </c>
      <c r="C149" s="15" t="s">
        <v>37</v>
      </c>
      <c r="D149" s="58">
        <v>8</v>
      </c>
      <c r="E149" s="91"/>
      <c r="F149" s="84">
        <f t="shared" si="32"/>
        <v>0</v>
      </c>
      <c r="G149" s="91"/>
      <c r="H149" s="84">
        <f t="shared" si="33"/>
        <v>0</v>
      </c>
      <c r="I149" s="77"/>
      <c r="J149" s="84">
        <f t="shared" si="34"/>
        <v>0</v>
      </c>
      <c r="K149" s="84">
        <f t="shared" si="35"/>
        <v>0</v>
      </c>
    </row>
    <row r="150" spans="1:11" ht="15.75" customHeight="1" x14ac:dyDescent="0.35">
      <c r="A150" s="246"/>
      <c r="B150" s="49" t="s">
        <v>89</v>
      </c>
      <c r="C150" s="15" t="s">
        <v>37</v>
      </c>
      <c r="D150" s="58">
        <v>2</v>
      </c>
      <c r="E150" s="91"/>
      <c r="F150" s="84">
        <f t="shared" si="32"/>
        <v>0</v>
      </c>
      <c r="G150" s="91"/>
      <c r="H150" s="84">
        <f t="shared" si="33"/>
        <v>0</v>
      </c>
      <c r="I150" s="77"/>
      <c r="J150" s="84">
        <f t="shared" si="34"/>
        <v>0</v>
      </c>
      <c r="K150" s="84">
        <f t="shared" si="35"/>
        <v>0</v>
      </c>
    </row>
    <row r="151" spans="1:11" ht="15.75" customHeight="1" x14ac:dyDescent="0.35">
      <c r="A151" s="246"/>
      <c r="B151" s="49" t="s">
        <v>90</v>
      </c>
      <c r="C151" s="15" t="s">
        <v>37</v>
      </c>
      <c r="D151" s="58">
        <v>16</v>
      </c>
      <c r="E151" s="84"/>
      <c r="F151" s="84">
        <f t="shared" si="32"/>
        <v>0</v>
      </c>
      <c r="G151" s="84"/>
      <c r="H151" s="84">
        <f t="shared" si="33"/>
        <v>0</v>
      </c>
      <c r="I151" s="76"/>
      <c r="J151" s="84">
        <f t="shared" si="34"/>
        <v>0</v>
      </c>
      <c r="K151" s="84">
        <f t="shared" si="35"/>
        <v>0</v>
      </c>
    </row>
    <row r="152" spans="1:11" ht="15.75" customHeight="1" x14ac:dyDescent="0.35">
      <c r="A152" s="247"/>
      <c r="B152" s="49" t="s">
        <v>91</v>
      </c>
      <c r="C152" s="15" t="s">
        <v>37</v>
      </c>
      <c r="D152" s="58">
        <v>24</v>
      </c>
      <c r="E152" s="84"/>
      <c r="F152" s="84">
        <f t="shared" si="32"/>
        <v>0</v>
      </c>
      <c r="G152" s="84"/>
      <c r="H152" s="84">
        <f t="shared" si="33"/>
        <v>0</v>
      </c>
      <c r="I152" s="76"/>
      <c r="J152" s="84">
        <f t="shared" si="34"/>
        <v>0</v>
      </c>
      <c r="K152" s="84">
        <f t="shared" si="35"/>
        <v>0</v>
      </c>
    </row>
    <row r="153" spans="1:11" ht="15.75" customHeight="1" x14ac:dyDescent="0.35">
      <c r="A153" s="56">
        <v>83</v>
      </c>
      <c r="B153" s="100" t="s">
        <v>93</v>
      </c>
      <c r="C153" s="137" t="s">
        <v>15</v>
      </c>
      <c r="D153" s="78">
        <v>150</v>
      </c>
      <c r="E153" s="91"/>
      <c r="F153" s="84">
        <f t="shared" si="32"/>
        <v>0</v>
      </c>
      <c r="G153" s="91"/>
      <c r="H153" s="84">
        <f t="shared" si="33"/>
        <v>0</v>
      </c>
      <c r="I153" s="91"/>
      <c r="J153" s="84">
        <f t="shared" si="34"/>
        <v>0</v>
      </c>
      <c r="K153" s="84">
        <f t="shared" si="35"/>
        <v>0</v>
      </c>
    </row>
    <row r="154" spans="1:11" ht="27" x14ac:dyDescent="0.35">
      <c r="A154" s="56">
        <v>84</v>
      </c>
      <c r="B154" s="85" t="s">
        <v>38</v>
      </c>
      <c r="C154" s="27" t="s">
        <v>15</v>
      </c>
      <c r="D154" s="84">
        <v>450</v>
      </c>
      <c r="E154" s="84"/>
      <c r="F154" s="84">
        <f t="shared" si="32"/>
        <v>0</v>
      </c>
      <c r="G154" s="84"/>
      <c r="H154" s="84">
        <f t="shared" si="33"/>
        <v>0</v>
      </c>
      <c r="I154" s="84"/>
      <c r="J154" s="84">
        <f t="shared" si="34"/>
        <v>0</v>
      </c>
      <c r="K154" s="84">
        <f t="shared" si="35"/>
        <v>0</v>
      </c>
    </row>
    <row r="155" spans="1:11" ht="27" x14ac:dyDescent="0.35">
      <c r="A155" s="56">
        <v>85</v>
      </c>
      <c r="B155" s="85" t="s">
        <v>39</v>
      </c>
      <c r="C155" s="27" t="s">
        <v>15</v>
      </c>
      <c r="D155" s="84">
        <v>500</v>
      </c>
      <c r="E155" s="84"/>
      <c r="F155" s="84">
        <f t="shared" si="32"/>
        <v>0</v>
      </c>
      <c r="G155" s="84"/>
      <c r="H155" s="84">
        <f t="shared" si="33"/>
        <v>0</v>
      </c>
      <c r="I155" s="84"/>
      <c r="J155" s="84">
        <f t="shared" si="34"/>
        <v>0</v>
      </c>
      <c r="K155" s="84">
        <f t="shared" si="35"/>
        <v>0</v>
      </c>
    </row>
    <row r="156" spans="1:11" x14ac:dyDescent="0.35">
      <c r="A156" s="56">
        <v>86</v>
      </c>
      <c r="B156" s="28" t="s">
        <v>40</v>
      </c>
      <c r="C156" s="27" t="s">
        <v>14</v>
      </c>
      <c r="D156" s="84">
        <v>270</v>
      </c>
      <c r="E156" s="84"/>
      <c r="F156" s="84">
        <f t="shared" si="32"/>
        <v>0</v>
      </c>
      <c r="G156" s="84"/>
      <c r="H156" s="84">
        <f t="shared" si="33"/>
        <v>0</v>
      </c>
      <c r="I156" s="84"/>
      <c r="J156" s="84">
        <f t="shared" si="34"/>
        <v>0</v>
      </c>
      <c r="K156" s="84">
        <f t="shared" si="35"/>
        <v>0</v>
      </c>
    </row>
    <row r="157" spans="1:11" x14ac:dyDescent="0.35">
      <c r="A157" s="56">
        <v>87</v>
      </c>
      <c r="B157" s="85" t="s">
        <v>41</v>
      </c>
      <c r="C157" s="10" t="s">
        <v>14</v>
      </c>
      <c r="D157" s="84">
        <v>96</v>
      </c>
      <c r="E157" s="84"/>
      <c r="F157" s="84">
        <f t="shared" si="32"/>
        <v>0</v>
      </c>
      <c r="G157" s="84"/>
      <c r="H157" s="84">
        <f t="shared" si="33"/>
        <v>0</v>
      </c>
      <c r="I157" s="84"/>
      <c r="J157" s="84">
        <f t="shared" si="34"/>
        <v>0</v>
      </c>
      <c r="K157" s="84">
        <f t="shared" si="35"/>
        <v>0</v>
      </c>
    </row>
    <row r="158" spans="1:11" x14ac:dyDescent="0.35">
      <c r="A158" s="56">
        <v>88</v>
      </c>
      <c r="B158" s="85" t="s">
        <v>42</v>
      </c>
      <c r="C158" s="10" t="s">
        <v>14</v>
      </c>
      <c r="D158" s="84">
        <v>16</v>
      </c>
      <c r="E158" s="84"/>
      <c r="F158" s="84">
        <f t="shared" si="32"/>
        <v>0</v>
      </c>
      <c r="G158" s="84"/>
      <c r="H158" s="84">
        <f t="shared" si="33"/>
        <v>0</v>
      </c>
      <c r="I158" s="84"/>
      <c r="J158" s="84">
        <f t="shared" si="34"/>
        <v>0</v>
      </c>
      <c r="K158" s="84">
        <f t="shared" si="35"/>
        <v>0</v>
      </c>
    </row>
    <row r="159" spans="1:11" ht="27" x14ac:dyDescent="0.35">
      <c r="A159" s="56">
        <v>89</v>
      </c>
      <c r="B159" s="87" t="s">
        <v>68</v>
      </c>
      <c r="C159" s="10" t="s">
        <v>14</v>
      </c>
      <c r="D159" s="84">
        <v>226</v>
      </c>
      <c r="E159" s="106"/>
      <c r="F159" s="84">
        <f t="shared" si="32"/>
        <v>0</v>
      </c>
      <c r="G159" s="84"/>
      <c r="H159" s="84">
        <f t="shared" si="33"/>
        <v>0</v>
      </c>
      <c r="I159" s="84"/>
      <c r="J159" s="84">
        <f t="shared" si="34"/>
        <v>0</v>
      </c>
      <c r="K159" s="84">
        <f t="shared" si="35"/>
        <v>0</v>
      </c>
    </row>
    <row r="160" spans="1:11" x14ac:dyDescent="0.35">
      <c r="A160" s="56">
        <v>90</v>
      </c>
      <c r="B160" s="45" t="s">
        <v>134</v>
      </c>
      <c r="C160" s="43" t="s">
        <v>35</v>
      </c>
      <c r="D160" s="15">
        <v>41</v>
      </c>
      <c r="E160" s="15"/>
      <c r="F160" s="15">
        <f t="shared" si="32"/>
        <v>0</v>
      </c>
      <c r="G160" s="15"/>
      <c r="H160" s="44">
        <f t="shared" si="33"/>
        <v>0</v>
      </c>
      <c r="I160" s="15"/>
      <c r="J160" s="75">
        <f t="shared" si="34"/>
        <v>0</v>
      </c>
      <c r="K160" s="44">
        <f t="shared" si="35"/>
        <v>0</v>
      </c>
    </row>
    <row r="161" spans="1:11" x14ac:dyDescent="0.35">
      <c r="A161" s="56"/>
      <c r="B161" s="33" t="s">
        <v>17</v>
      </c>
      <c r="C161" s="89" t="s">
        <v>18</v>
      </c>
      <c r="D161" s="91">
        <f>(D154+D155+D156+D157+D158+D159+D160)*0.08</f>
        <v>127.92</v>
      </c>
      <c r="E161" s="91"/>
      <c r="F161" s="84">
        <f t="shared" si="32"/>
        <v>0</v>
      </c>
      <c r="G161" s="91"/>
      <c r="H161" s="84"/>
      <c r="I161" s="91"/>
      <c r="J161" s="84"/>
      <c r="K161" s="84">
        <f t="shared" si="35"/>
        <v>0</v>
      </c>
    </row>
    <row r="162" spans="1:11" x14ac:dyDescent="0.35">
      <c r="A162" s="56">
        <v>101</v>
      </c>
      <c r="B162" s="20" t="s">
        <v>31</v>
      </c>
      <c r="C162" s="59" t="s">
        <v>181</v>
      </c>
      <c r="D162" s="60">
        <v>9</v>
      </c>
      <c r="E162" s="84"/>
      <c r="F162" s="84"/>
      <c r="G162" s="84"/>
      <c r="H162" s="84">
        <f t="shared" si="33"/>
        <v>0</v>
      </c>
      <c r="I162" s="84"/>
      <c r="J162" s="84">
        <f t="shared" si="34"/>
        <v>0</v>
      </c>
      <c r="K162" s="84">
        <f t="shared" si="35"/>
        <v>0</v>
      </c>
    </row>
    <row r="163" spans="1:11" x14ac:dyDescent="0.35">
      <c r="A163" s="56">
        <v>102</v>
      </c>
      <c r="B163" s="20" t="s">
        <v>32</v>
      </c>
      <c r="C163" s="59" t="s">
        <v>30</v>
      </c>
      <c r="D163" s="60">
        <f>D162*1.3</f>
        <v>11.700000000000001</v>
      </c>
      <c r="E163" s="84"/>
      <c r="F163" s="84"/>
      <c r="G163" s="84"/>
      <c r="H163" s="84">
        <f t="shared" si="33"/>
        <v>0</v>
      </c>
      <c r="I163" s="84"/>
      <c r="J163" s="84">
        <f t="shared" si="34"/>
        <v>0</v>
      </c>
      <c r="K163" s="84">
        <f t="shared" si="35"/>
        <v>0</v>
      </c>
    </row>
    <row r="164" spans="1:11" x14ac:dyDescent="0.35">
      <c r="A164" s="256"/>
      <c r="B164" s="10" t="s">
        <v>11</v>
      </c>
      <c r="C164" s="24"/>
      <c r="D164" s="84"/>
      <c r="E164" s="84"/>
      <c r="F164" s="29">
        <f>SUM(F10:F163)</f>
        <v>0</v>
      </c>
      <c r="G164" s="29"/>
      <c r="H164" s="29">
        <f>SUM(H10:H163)</f>
        <v>0</v>
      </c>
      <c r="I164" s="29"/>
      <c r="J164" s="29">
        <f>SUM(J10:J163)</f>
        <v>0</v>
      </c>
      <c r="K164" s="80">
        <f>SUM(K10:K163)</f>
        <v>0</v>
      </c>
    </row>
    <row r="165" spans="1:11" x14ac:dyDescent="0.35">
      <c r="A165" s="257"/>
      <c r="B165" s="13" t="s">
        <v>20</v>
      </c>
      <c r="C165" s="26" t="s">
        <v>309</v>
      </c>
      <c r="D165" s="15"/>
      <c r="E165" s="14"/>
      <c r="F165" s="81"/>
      <c r="G165" s="81"/>
      <c r="H165" s="81"/>
      <c r="I165" s="81"/>
      <c r="J165" s="81"/>
      <c r="K165" s="81" t="e">
        <f>K164*C165</f>
        <v>#VALUE!</v>
      </c>
    </row>
    <row r="166" spans="1:11" x14ac:dyDescent="0.35">
      <c r="A166" s="257"/>
      <c r="B166" s="19" t="s">
        <v>11</v>
      </c>
      <c r="C166" s="25"/>
      <c r="D166" s="15"/>
      <c r="E166" s="14"/>
      <c r="F166" s="81"/>
      <c r="G166" s="81"/>
      <c r="H166" s="81"/>
      <c r="I166" s="81"/>
      <c r="J166" s="81"/>
      <c r="K166" s="81" t="e">
        <f>K165+K164</f>
        <v>#VALUE!</v>
      </c>
    </row>
    <row r="167" spans="1:11" x14ac:dyDescent="0.35">
      <c r="A167" s="257"/>
      <c r="B167" s="13" t="s">
        <v>21</v>
      </c>
      <c r="C167" s="26" t="s">
        <v>309</v>
      </c>
      <c r="D167" s="15"/>
      <c r="E167" s="14"/>
      <c r="F167" s="81"/>
      <c r="G167" s="81"/>
      <c r="H167" s="81"/>
      <c r="I167" s="81"/>
      <c r="J167" s="81"/>
      <c r="K167" s="81" t="e">
        <f>K166*C167</f>
        <v>#VALUE!</v>
      </c>
    </row>
    <row r="168" spans="1:11" x14ac:dyDescent="0.35">
      <c r="A168" s="257"/>
      <c r="B168" s="19" t="s">
        <v>11</v>
      </c>
      <c r="C168" s="25"/>
      <c r="D168" s="15"/>
      <c r="E168" s="14"/>
      <c r="F168" s="81"/>
      <c r="G168" s="81"/>
      <c r="H168" s="81"/>
      <c r="I168" s="81"/>
      <c r="J168" s="81"/>
      <c r="K168" s="81" t="e">
        <f>SUM(K166:K167)</f>
        <v>#VALUE!</v>
      </c>
    </row>
    <row r="169" spans="1:11" x14ac:dyDescent="0.35">
      <c r="A169" s="257"/>
      <c r="B169" s="13" t="s">
        <v>22</v>
      </c>
      <c r="C169" s="26" t="s">
        <v>309</v>
      </c>
      <c r="D169" s="15"/>
      <c r="E169" s="14"/>
      <c r="F169" s="81"/>
      <c r="G169" s="81"/>
      <c r="H169" s="81"/>
      <c r="I169" s="81"/>
      <c r="J169" s="81"/>
      <c r="K169" s="81" t="e">
        <f>K168*C169</f>
        <v>#VALUE!</v>
      </c>
    </row>
    <row r="170" spans="1:11" x14ac:dyDescent="0.35">
      <c r="A170" s="257"/>
      <c r="B170" s="19" t="s">
        <v>11</v>
      </c>
      <c r="C170" s="25"/>
      <c r="D170" s="15"/>
      <c r="E170" s="14"/>
      <c r="F170" s="81"/>
      <c r="G170" s="81"/>
      <c r="H170" s="81"/>
      <c r="I170" s="81"/>
      <c r="J170" s="81"/>
      <c r="K170" s="81" t="e">
        <f>SUM(K168:K169)</f>
        <v>#VALUE!</v>
      </c>
    </row>
    <row r="171" spans="1:11" x14ac:dyDescent="0.35">
      <c r="A171" s="257"/>
      <c r="B171" s="13" t="s">
        <v>25</v>
      </c>
      <c r="C171" s="26" t="s">
        <v>309</v>
      </c>
      <c r="D171" s="15"/>
      <c r="E171" s="14"/>
      <c r="F171" s="81"/>
      <c r="G171" s="81"/>
      <c r="H171" s="81"/>
      <c r="I171" s="81"/>
      <c r="J171" s="81"/>
      <c r="K171" s="81" t="e">
        <f>K170*C171</f>
        <v>#VALUE!</v>
      </c>
    </row>
    <row r="172" spans="1:11" x14ac:dyDescent="0.35">
      <c r="A172" s="257"/>
      <c r="B172" s="13" t="s">
        <v>43</v>
      </c>
      <c r="C172" s="26" t="s">
        <v>309</v>
      </c>
      <c r="D172" s="15"/>
      <c r="E172" s="14"/>
      <c r="F172" s="81"/>
      <c r="G172" s="81"/>
      <c r="H172" s="81"/>
      <c r="I172" s="81"/>
      <c r="J172" s="81"/>
      <c r="K172" s="81" t="e">
        <f>H164*C172</f>
        <v>#VALUE!</v>
      </c>
    </row>
    <row r="173" spans="1:11" x14ac:dyDescent="0.35">
      <c r="A173" s="257"/>
      <c r="B173" s="19" t="s">
        <v>11</v>
      </c>
      <c r="C173" s="25"/>
      <c r="D173" s="15"/>
      <c r="E173" s="14"/>
      <c r="F173" s="81"/>
      <c r="G173" s="81"/>
      <c r="H173" s="81"/>
      <c r="I173" s="81"/>
      <c r="J173" s="81"/>
      <c r="K173" s="81" t="e">
        <f>K172+K171+K170</f>
        <v>#VALUE!</v>
      </c>
    </row>
    <row r="174" spans="1:11" x14ac:dyDescent="0.35">
      <c r="A174" s="257"/>
      <c r="B174" s="11" t="s">
        <v>23</v>
      </c>
      <c r="C174" s="26">
        <v>0.18</v>
      </c>
      <c r="D174" s="15"/>
      <c r="E174" s="14"/>
      <c r="F174" s="81"/>
      <c r="G174" s="81"/>
      <c r="H174" s="81"/>
      <c r="I174" s="81"/>
      <c r="J174" s="81"/>
      <c r="K174" s="81" t="e">
        <f>K173*C174</f>
        <v>#VALUE!</v>
      </c>
    </row>
    <row r="175" spans="1:11" x14ac:dyDescent="0.35">
      <c r="A175" s="258"/>
      <c r="B175" s="12" t="s">
        <v>24</v>
      </c>
      <c r="C175" s="8"/>
      <c r="D175" s="10"/>
      <c r="E175" s="10"/>
      <c r="F175" s="79"/>
      <c r="G175" s="79"/>
      <c r="H175" s="79"/>
      <c r="I175" s="79"/>
      <c r="J175" s="79"/>
      <c r="K175" s="29" t="e">
        <f>K174+K173</f>
        <v>#VALUE!</v>
      </c>
    </row>
  </sheetData>
  <mergeCells count="30">
    <mergeCell ref="A145:A152"/>
    <mergeCell ref="A164:A175"/>
    <mergeCell ref="A97:A101"/>
    <mergeCell ref="A109:A116"/>
    <mergeCell ref="A117:A124"/>
    <mergeCell ref="A125:A131"/>
    <mergeCell ref="A92:A96"/>
    <mergeCell ref="A42:A44"/>
    <mergeCell ref="A45:A50"/>
    <mergeCell ref="A51:A55"/>
    <mergeCell ref="A57:A61"/>
    <mergeCell ref="A62:A65"/>
    <mergeCell ref="A67:A72"/>
    <mergeCell ref="A73:A78"/>
    <mergeCell ref="A79:A82"/>
    <mergeCell ref="A84:A90"/>
    <mergeCell ref="I6:J6"/>
    <mergeCell ref="K6:K7"/>
    <mergeCell ref="E6:F6"/>
    <mergeCell ref="G6:H6"/>
    <mergeCell ref="A38:A41"/>
    <mergeCell ref="A6:A7"/>
    <mergeCell ref="B6:B7"/>
    <mergeCell ref="C6:C7"/>
    <mergeCell ref="D6:D7"/>
    <mergeCell ref="B1:I1"/>
    <mergeCell ref="J1:K1"/>
    <mergeCell ref="B2:K3"/>
    <mergeCell ref="A4:K4"/>
    <mergeCell ref="E5:H5"/>
  </mergeCells>
  <conditionalFormatting sqref="D160">
    <cfRule type="cellIs" dxfId="5" priority="1" operator="equal">
      <formula>0</formula>
    </cfRule>
  </conditionalFormatting>
  <conditionalFormatting sqref="D153">
    <cfRule type="cellIs" dxfId="4" priority="2" operator="equal">
      <formula>0</formula>
    </cfRule>
  </conditionalFormatting>
  <pageMargins left="0.25" right="0.25" top="0.5" bottom="0.25" header="0.3" footer="0.3"/>
  <pageSetup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72F90-0D86-475E-B03E-075B4D9CB5D7}">
  <dimension ref="A1:L137"/>
  <sheetViews>
    <sheetView topLeftCell="A72" workbookViewId="0">
      <selection activeCell="E128" sqref="E128"/>
    </sheetView>
  </sheetViews>
  <sheetFormatPr defaultColWidth="9.08984375" defaultRowHeight="14.5" x14ac:dyDescent="0.35"/>
  <cols>
    <col min="1" max="1" width="3" style="7" customWidth="1"/>
    <col min="2" max="2" width="61.90625" style="1" customWidth="1"/>
    <col min="3" max="3" width="7.36328125" style="4" customWidth="1"/>
    <col min="4" max="4" width="9.54296875" style="4" customWidth="1"/>
    <col min="5" max="5" width="8.36328125" style="4" customWidth="1"/>
    <col min="6" max="6" width="10.54296875" style="4" customWidth="1"/>
    <col min="7" max="7" width="8.54296875" style="4" customWidth="1"/>
    <col min="8" max="8" width="9.54296875" style="4" customWidth="1"/>
    <col min="9" max="9" width="6.54296875" style="4" customWidth="1"/>
    <col min="10" max="10" width="8.54296875" style="4" customWidth="1"/>
    <col min="11" max="11" width="14.6328125" style="4" customWidth="1"/>
    <col min="12" max="16384" width="9.08984375" style="1"/>
  </cols>
  <sheetData>
    <row r="1" spans="1:12" x14ac:dyDescent="0.35">
      <c r="A1" s="177"/>
      <c r="B1" s="178"/>
      <c r="C1" s="228"/>
      <c r="D1" s="228"/>
      <c r="E1" s="228"/>
      <c r="F1" s="228"/>
      <c r="G1" s="228"/>
      <c r="H1" s="228"/>
      <c r="I1" s="228"/>
      <c r="J1" s="270" t="s">
        <v>217</v>
      </c>
      <c r="K1" s="270"/>
    </row>
    <row r="2" spans="1:12" ht="34.5" customHeight="1" x14ac:dyDescent="0.35">
      <c r="A2" s="271" t="s">
        <v>218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2" ht="18" customHeight="1" x14ac:dyDescent="0.35">
      <c r="A3" s="179"/>
      <c r="B3" s="180" t="s">
        <v>219</v>
      </c>
      <c r="C3" s="181"/>
      <c r="D3" s="181"/>
      <c r="E3" s="272" t="s">
        <v>220</v>
      </c>
      <c r="F3" s="272"/>
      <c r="G3" s="272"/>
      <c r="H3" s="272"/>
      <c r="I3" s="272"/>
      <c r="J3" s="272"/>
      <c r="K3" s="182" t="e">
        <f>K136</f>
        <v>#VALUE!</v>
      </c>
    </row>
    <row r="4" spans="1:12" ht="30" customHeight="1" x14ac:dyDescent="0.35">
      <c r="A4" s="268" t="s">
        <v>221</v>
      </c>
      <c r="B4" s="268" t="s">
        <v>5</v>
      </c>
      <c r="C4" s="268" t="s">
        <v>6</v>
      </c>
      <c r="D4" s="273" t="s">
        <v>7</v>
      </c>
      <c r="E4" s="275" t="s">
        <v>8</v>
      </c>
      <c r="F4" s="276"/>
      <c r="G4" s="275" t="s">
        <v>9</v>
      </c>
      <c r="H4" s="276"/>
      <c r="I4" s="277" t="s">
        <v>10</v>
      </c>
      <c r="J4" s="278"/>
      <c r="K4" s="268" t="s">
        <v>11</v>
      </c>
      <c r="L4" s="1" t="s">
        <v>222</v>
      </c>
    </row>
    <row r="5" spans="1:12" ht="24.5" x14ac:dyDescent="0.35">
      <c r="A5" s="269"/>
      <c r="B5" s="269"/>
      <c r="C5" s="269"/>
      <c r="D5" s="274"/>
      <c r="E5" s="39" t="s">
        <v>12</v>
      </c>
      <c r="F5" s="183" t="s">
        <v>11</v>
      </c>
      <c r="G5" s="39" t="s">
        <v>12</v>
      </c>
      <c r="H5" s="183" t="s">
        <v>11</v>
      </c>
      <c r="I5" s="39" t="s">
        <v>12</v>
      </c>
      <c r="J5" s="183" t="s">
        <v>11</v>
      </c>
      <c r="K5" s="269"/>
    </row>
    <row r="6" spans="1:12" x14ac:dyDescent="0.35">
      <c r="A6" s="184">
        <v>1</v>
      </c>
      <c r="B6" s="185">
        <v>2</v>
      </c>
      <c r="C6" s="185">
        <v>3</v>
      </c>
      <c r="D6" s="185">
        <v>4</v>
      </c>
      <c r="E6" s="185">
        <v>5</v>
      </c>
      <c r="F6" s="185">
        <v>6</v>
      </c>
      <c r="G6" s="185">
        <v>7</v>
      </c>
      <c r="H6" s="185">
        <v>8</v>
      </c>
      <c r="I6" s="185">
        <v>9</v>
      </c>
      <c r="J6" s="185">
        <v>10</v>
      </c>
      <c r="K6" s="185">
        <v>11</v>
      </c>
    </row>
    <row r="7" spans="1:12" ht="21" customHeight="1" x14ac:dyDescent="0.35">
      <c r="A7" s="184"/>
      <c r="B7" s="56" t="s">
        <v>223</v>
      </c>
      <c r="C7" s="185"/>
      <c r="D7" s="185"/>
      <c r="E7" s="185"/>
      <c r="F7" s="185"/>
      <c r="G7" s="185"/>
      <c r="H7" s="185"/>
      <c r="I7" s="185"/>
      <c r="J7" s="185"/>
      <c r="K7" s="185"/>
    </row>
    <row r="8" spans="1:12" ht="27" x14ac:dyDescent="0.35">
      <c r="A8" s="89">
        <v>1</v>
      </c>
      <c r="B8" s="20" t="s">
        <v>224</v>
      </c>
      <c r="C8" s="24" t="s">
        <v>225</v>
      </c>
      <c r="D8" s="84">
        <f>(8+4+8+8+8+17.5+17.5)*0.6*0.3+9*0.3</f>
        <v>15.479999999999999</v>
      </c>
      <c r="E8" s="84"/>
      <c r="F8" s="186">
        <f t="shared" ref="F8:F71" si="0">E8*D8</f>
        <v>0</v>
      </c>
      <c r="G8" s="84"/>
      <c r="H8" s="186">
        <f t="shared" ref="H8:H71" si="1">G8*D8</f>
        <v>0</v>
      </c>
      <c r="I8" s="84"/>
      <c r="J8" s="186">
        <f t="shared" ref="J8:J71" si="2">I8*D8</f>
        <v>0</v>
      </c>
      <c r="K8" s="187">
        <f t="shared" ref="K8:K71" si="3">J8+H8+F8</f>
        <v>0</v>
      </c>
    </row>
    <row r="9" spans="1:12" x14ac:dyDescent="0.35">
      <c r="A9" s="89"/>
      <c r="B9" s="18" t="s">
        <v>226</v>
      </c>
      <c r="C9" s="24" t="s">
        <v>225</v>
      </c>
      <c r="D9" s="84">
        <f>1.015*D8</f>
        <v>15.712199999999998</v>
      </c>
      <c r="E9" s="84"/>
      <c r="F9" s="186">
        <f t="shared" si="0"/>
        <v>0</v>
      </c>
      <c r="G9" s="84"/>
      <c r="H9" s="186">
        <f t="shared" si="1"/>
        <v>0</v>
      </c>
      <c r="I9" s="84"/>
      <c r="J9" s="186">
        <f t="shared" si="2"/>
        <v>0</v>
      </c>
      <c r="K9" s="187">
        <f t="shared" si="3"/>
        <v>0</v>
      </c>
    </row>
    <row r="10" spans="1:12" x14ac:dyDescent="0.35">
      <c r="A10" s="89"/>
      <c r="B10" s="33" t="s">
        <v>227</v>
      </c>
      <c r="C10" s="24" t="s">
        <v>15</v>
      </c>
      <c r="D10" s="91">
        <v>470</v>
      </c>
      <c r="E10" s="84"/>
      <c r="F10" s="186">
        <f t="shared" si="0"/>
        <v>0</v>
      </c>
      <c r="G10" s="84"/>
      <c r="H10" s="186">
        <f t="shared" si="1"/>
        <v>0</v>
      </c>
      <c r="I10" s="84"/>
      <c r="J10" s="186">
        <f t="shared" si="2"/>
        <v>0</v>
      </c>
      <c r="K10" s="187">
        <f t="shared" si="3"/>
        <v>0</v>
      </c>
    </row>
    <row r="11" spans="1:12" x14ac:dyDescent="0.35">
      <c r="A11" s="89"/>
      <c r="B11" s="33" t="s">
        <v>228</v>
      </c>
      <c r="C11" s="184" t="s">
        <v>15</v>
      </c>
      <c r="D11" s="91">
        <v>36</v>
      </c>
      <c r="E11" s="186"/>
      <c r="F11" s="186">
        <f t="shared" si="0"/>
        <v>0</v>
      </c>
      <c r="G11" s="84"/>
      <c r="H11" s="186">
        <f t="shared" si="1"/>
        <v>0</v>
      </c>
      <c r="I11" s="84"/>
      <c r="J11" s="186">
        <f t="shared" si="2"/>
        <v>0</v>
      </c>
      <c r="K11" s="187">
        <f t="shared" si="3"/>
        <v>0</v>
      </c>
    </row>
    <row r="12" spans="1:12" x14ac:dyDescent="0.35">
      <c r="A12" s="89"/>
      <c r="B12" s="33" t="s">
        <v>229</v>
      </c>
      <c r="C12" s="24" t="s">
        <v>15</v>
      </c>
      <c r="D12" s="91">
        <v>680</v>
      </c>
      <c r="E12" s="84"/>
      <c r="F12" s="186">
        <f t="shared" si="0"/>
        <v>0</v>
      </c>
      <c r="G12" s="84"/>
      <c r="H12" s="186">
        <f t="shared" si="1"/>
        <v>0</v>
      </c>
      <c r="I12" s="84"/>
      <c r="J12" s="186">
        <f t="shared" si="2"/>
        <v>0</v>
      </c>
      <c r="K12" s="187">
        <f t="shared" si="3"/>
        <v>0</v>
      </c>
    </row>
    <row r="13" spans="1:12" x14ac:dyDescent="0.35">
      <c r="A13" s="89"/>
      <c r="B13" s="18" t="s">
        <v>230</v>
      </c>
      <c r="C13" s="24" t="s">
        <v>19</v>
      </c>
      <c r="D13" s="84">
        <f>D8*0.52</f>
        <v>8.0495999999999999</v>
      </c>
      <c r="E13" s="84"/>
      <c r="F13" s="186">
        <f t="shared" si="0"/>
        <v>0</v>
      </c>
      <c r="G13" s="84"/>
      <c r="H13" s="186">
        <f t="shared" si="1"/>
        <v>0</v>
      </c>
      <c r="I13" s="84"/>
      <c r="J13" s="186">
        <f t="shared" si="2"/>
        <v>0</v>
      </c>
      <c r="K13" s="187">
        <f t="shared" si="3"/>
        <v>0</v>
      </c>
    </row>
    <row r="14" spans="1:12" x14ac:dyDescent="0.35">
      <c r="A14" s="89"/>
      <c r="B14" s="18" t="s">
        <v>231</v>
      </c>
      <c r="C14" s="24" t="s">
        <v>19</v>
      </c>
      <c r="D14" s="84">
        <f>D8*0.52</f>
        <v>8.0495999999999999</v>
      </c>
      <c r="E14" s="84"/>
      <c r="F14" s="186">
        <f t="shared" si="0"/>
        <v>0</v>
      </c>
      <c r="G14" s="84"/>
      <c r="H14" s="186">
        <f t="shared" si="1"/>
        <v>0</v>
      </c>
      <c r="I14" s="84"/>
      <c r="J14" s="186">
        <f t="shared" si="2"/>
        <v>0</v>
      </c>
      <c r="K14" s="187">
        <f t="shared" si="3"/>
        <v>0</v>
      </c>
    </row>
    <row r="15" spans="1:12" x14ac:dyDescent="0.35">
      <c r="A15" s="89"/>
      <c r="B15" s="18" t="s">
        <v>232</v>
      </c>
      <c r="C15" s="24" t="s">
        <v>15</v>
      </c>
      <c r="D15" s="84">
        <v>25</v>
      </c>
      <c r="E15" s="93"/>
      <c r="F15" s="186">
        <f t="shared" si="0"/>
        <v>0</v>
      </c>
      <c r="G15" s="84"/>
      <c r="H15" s="186">
        <f t="shared" si="1"/>
        <v>0</v>
      </c>
      <c r="I15" s="84"/>
      <c r="J15" s="186">
        <f t="shared" si="2"/>
        <v>0</v>
      </c>
      <c r="K15" s="187">
        <f t="shared" si="3"/>
        <v>0</v>
      </c>
    </row>
    <row r="16" spans="1:12" x14ac:dyDescent="0.35">
      <c r="A16" s="89"/>
      <c r="B16" s="18" t="s">
        <v>233</v>
      </c>
      <c r="C16" s="24" t="s">
        <v>19</v>
      </c>
      <c r="D16" s="84">
        <f>D8*0.3</f>
        <v>4.6439999999999992</v>
      </c>
      <c r="E16" s="84"/>
      <c r="F16" s="186">
        <f t="shared" si="0"/>
        <v>0</v>
      </c>
      <c r="G16" s="84"/>
      <c r="H16" s="186">
        <f t="shared" si="1"/>
        <v>0</v>
      </c>
      <c r="I16" s="84"/>
      <c r="J16" s="186">
        <f t="shared" si="2"/>
        <v>0</v>
      </c>
      <c r="K16" s="187">
        <f t="shared" si="3"/>
        <v>0</v>
      </c>
    </row>
    <row r="17" spans="1:11" x14ac:dyDescent="0.35">
      <c r="A17" s="89"/>
      <c r="B17" s="33" t="s">
        <v>234</v>
      </c>
      <c r="C17" s="10" t="s">
        <v>37</v>
      </c>
      <c r="D17" s="84">
        <v>4</v>
      </c>
      <c r="E17" s="84"/>
      <c r="F17" s="186">
        <f t="shared" si="0"/>
        <v>0</v>
      </c>
      <c r="G17" s="84"/>
      <c r="H17" s="186">
        <f t="shared" si="1"/>
        <v>0</v>
      </c>
      <c r="I17" s="84"/>
      <c r="J17" s="186">
        <f t="shared" si="2"/>
        <v>0</v>
      </c>
      <c r="K17" s="187">
        <f t="shared" si="3"/>
        <v>0</v>
      </c>
    </row>
    <row r="18" spans="1:11" x14ac:dyDescent="0.35">
      <c r="A18" s="89"/>
      <c r="B18" s="18" t="s">
        <v>235</v>
      </c>
      <c r="C18" s="24" t="s">
        <v>18</v>
      </c>
      <c r="D18" s="84">
        <f>0.5*D8</f>
        <v>7.7399999999999993</v>
      </c>
      <c r="E18" s="84"/>
      <c r="F18" s="186">
        <f t="shared" si="0"/>
        <v>0</v>
      </c>
      <c r="G18" s="84"/>
      <c r="H18" s="186">
        <f t="shared" si="1"/>
        <v>0</v>
      </c>
      <c r="I18" s="84"/>
      <c r="J18" s="186">
        <f t="shared" si="2"/>
        <v>0</v>
      </c>
      <c r="K18" s="187">
        <f t="shared" si="3"/>
        <v>0</v>
      </c>
    </row>
    <row r="19" spans="1:11" ht="33.75" customHeight="1" x14ac:dyDescent="0.35">
      <c r="A19" s="89">
        <v>2</v>
      </c>
      <c r="B19" s="20" t="s">
        <v>236</v>
      </c>
      <c r="C19" s="89" t="s">
        <v>13</v>
      </c>
      <c r="D19" s="91">
        <v>140</v>
      </c>
      <c r="E19" s="91"/>
      <c r="F19" s="186">
        <f t="shared" si="0"/>
        <v>0</v>
      </c>
      <c r="G19" s="91"/>
      <c r="H19" s="186">
        <f t="shared" si="1"/>
        <v>0</v>
      </c>
      <c r="I19" s="91"/>
      <c r="J19" s="186">
        <f t="shared" si="2"/>
        <v>0</v>
      </c>
      <c r="K19" s="187">
        <f t="shared" si="3"/>
        <v>0</v>
      </c>
    </row>
    <row r="20" spans="1:11" x14ac:dyDescent="0.35">
      <c r="A20" s="89"/>
      <c r="B20" s="18" t="s">
        <v>237</v>
      </c>
      <c r="C20" s="24" t="s">
        <v>225</v>
      </c>
      <c r="D20" s="84">
        <f>D19*0.1</f>
        <v>14</v>
      </c>
      <c r="E20" s="84"/>
      <c r="F20" s="186">
        <f t="shared" si="0"/>
        <v>0</v>
      </c>
      <c r="G20" s="84"/>
      <c r="H20" s="186">
        <f t="shared" si="1"/>
        <v>0</v>
      </c>
      <c r="I20" s="84"/>
      <c r="J20" s="186">
        <f t="shared" si="2"/>
        <v>0</v>
      </c>
      <c r="K20" s="187">
        <f t="shared" si="3"/>
        <v>0</v>
      </c>
    </row>
    <row r="21" spans="1:11" x14ac:dyDescent="0.35">
      <c r="A21" s="89"/>
      <c r="B21" s="18" t="s">
        <v>238</v>
      </c>
      <c r="C21" s="89" t="s">
        <v>13</v>
      </c>
      <c r="D21" s="84">
        <f>D19*0.95</f>
        <v>133</v>
      </c>
      <c r="E21" s="84"/>
      <c r="F21" s="186">
        <f t="shared" si="0"/>
        <v>0</v>
      </c>
      <c r="G21" s="84"/>
      <c r="H21" s="186">
        <f t="shared" si="1"/>
        <v>0</v>
      </c>
      <c r="I21" s="84"/>
      <c r="J21" s="186">
        <f t="shared" si="2"/>
        <v>0</v>
      </c>
      <c r="K21" s="187">
        <f t="shared" si="3"/>
        <v>0</v>
      </c>
    </row>
    <row r="22" spans="1:11" x14ac:dyDescent="0.35">
      <c r="A22" s="89"/>
      <c r="B22" s="18" t="s">
        <v>239</v>
      </c>
      <c r="C22" s="24" t="s">
        <v>225</v>
      </c>
      <c r="D22" s="84">
        <f>D19*0.3</f>
        <v>42</v>
      </c>
      <c r="E22" s="84"/>
      <c r="F22" s="186">
        <f t="shared" si="0"/>
        <v>0</v>
      </c>
      <c r="G22" s="84"/>
      <c r="H22" s="186">
        <f t="shared" si="1"/>
        <v>0</v>
      </c>
      <c r="I22" s="84"/>
      <c r="J22" s="186">
        <f t="shared" si="2"/>
        <v>0</v>
      </c>
      <c r="K22" s="187">
        <f t="shared" si="3"/>
        <v>0</v>
      </c>
    </row>
    <row r="23" spans="1:11" x14ac:dyDescent="0.35">
      <c r="A23" s="89"/>
      <c r="B23" s="18" t="s">
        <v>240</v>
      </c>
      <c r="C23" s="89" t="s">
        <v>13</v>
      </c>
      <c r="D23" s="84">
        <f>D19</f>
        <v>140</v>
      </c>
      <c r="E23" s="84"/>
      <c r="F23" s="186">
        <f t="shared" si="0"/>
        <v>0</v>
      </c>
      <c r="G23" s="84"/>
      <c r="H23" s="186">
        <f t="shared" si="1"/>
        <v>0</v>
      </c>
      <c r="I23" s="84"/>
      <c r="J23" s="186">
        <f t="shared" si="2"/>
        <v>0</v>
      </c>
      <c r="K23" s="187">
        <f t="shared" si="3"/>
        <v>0</v>
      </c>
    </row>
    <row r="24" spans="1:11" x14ac:dyDescent="0.35">
      <c r="A24" s="89"/>
      <c r="B24" s="18" t="s">
        <v>235</v>
      </c>
      <c r="C24" s="24" t="s">
        <v>18</v>
      </c>
      <c r="D24" s="84">
        <f>0.2*D19</f>
        <v>28</v>
      </c>
      <c r="E24" s="84"/>
      <c r="F24" s="186">
        <f t="shared" si="0"/>
        <v>0</v>
      </c>
      <c r="G24" s="84"/>
      <c r="H24" s="186">
        <f t="shared" si="1"/>
        <v>0</v>
      </c>
      <c r="I24" s="84"/>
      <c r="J24" s="186">
        <f t="shared" si="2"/>
        <v>0</v>
      </c>
      <c r="K24" s="187">
        <f t="shared" si="3"/>
        <v>0</v>
      </c>
    </row>
    <row r="25" spans="1:11" x14ac:dyDescent="0.35">
      <c r="A25" s="89">
        <v>3</v>
      </c>
      <c r="B25" s="90" t="s">
        <v>241</v>
      </c>
      <c r="C25" s="89" t="s">
        <v>13</v>
      </c>
      <c r="D25" s="84">
        <f>D19-D29</f>
        <v>128</v>
      </c>
      <c r="E25" s="84"/>
      <c r="F25" s="186">
        <f t="shared" si="0"/>
        <v>0</v>
      </c>
      <c r="G25" s="84"/>
      <c r="H25" s="186">
        <f t="shared" si="1"/>
        <v>0</v>
      </c>
      <c r="I25" s="84"/>
      <c r="J25" s="186">
        <f t="shared" si="2"/>
        <v>0</v>
      </c>
      <c r="K25" s="187">
        <f t="shared" si="3"/>
        <v>0</v>
      </c>
    </row>
    <row r="26" spans="1:11" s="189" customFormat="1" ht="16.5" customHeight="1" x14ac:dyDescent="0.35">
      <c r="A26" s="188"/>
      <c r="B26" s="18" t="s">
        <v>242</v>
      </c>
      <c r="C26" s="24" t="s">
        <v>19</v>
      </c>
      <c r="D26" s="84">
        <f>D25*0.45</f>
        <v>57.6</v>
      </c>
      <c r="E26" s="84"/>
      <c r="F26" s="186">
        <f t="shared" si="0"/>
        <v>0</v>
      </c>
      <c r="G26" s="84"/>
      <c r="H26" s="186">
        <f t="shared" si="1"/>
        <v>0</v>
      </c>
      <c r="I26" s="84"/>
      <c r="J26" s="186">
        <f t="shared" si="2"/>
        <v>0</v>
      </c>
      <c r="K26" s="187">
        <f t="shared" si="3"/>
        <v>0</v>
      </c>
    </row>
    <row r="27" spans="1:11" s="189" customFormat="1" ht="16.5" customHeight="1" x14ac:dyDescent="0.35">
      <c r="A27" s="188"/>
      <c r="B27" s="18" t="s">
        <v>243</v>
      </c>
      <c r="C27" s="24" t="s">
        <v>19</v>
      </c>
      <c r="D27" s="84">
        <f>0.7*D25</f>
        <v>89.6</v>
      </c>
      <c r="E27" s="84"/>
      <c r="F27" s="186">
        <f t="shared" si="0"/>
        <v>0</v>
      </c>
      <c r="G27" s="84"/>
      <c r="H27" s="186">
        <f t="shared" si="1"/>
        <v>0</v>
      </c>
      <c r="I27" s="84"/>
      <c r="J27" s="186">
        <f t="shared" si="2"/>
        <v>0</v>
      </c>
      <c r="K27" s="187">
        <f t="shared" si="3"/>
        <v>0</v>
      </c>
    </row>
    <row r="28" spans="1:11" s="189" customFormat="1" x14ac:dyDescent="0.35">
      <c r="A28" s="188"/>
      <c r="B28" s="18" t="s">
        <v>235</v>
      </c>
      <c r="C28" s="24" t="s">
        <v>18</v>
      </c>
      <c r="D28" s="84">
        <f>0.05*D25</f>
        <v>6.4</v>
      </c>
      <c r="E28" s="84"/>
      <c r="F28" s="186">
        <f t="shared" si="0"/>
        <v>0</v>
      </c>
      <c r="G28" s="84"/>
      <c r="H28" s="186">
        <f t="shared" si="1"/>
        <v>0</v>
      </c>
      <c r="I28" s="84"/>
      <c r="J28" s="186">
        <f t="shared" si="2"/>
        <v>0</v>
      </c>
      <c r="K28" s="187">
        <f t="shared" si="3"/>
        <v>0</v>
      </c>
    </row>
    <row r="29" spans="1:11" s="189" customFormat="1" x14ac:dyDescent="0.35">
      <c r="A29" s="188">
        <v>4</v>
      </c>
      <c r="B29" s="90" t="s">
        <v>244</v>
      </c>
      <c r="C29" s="89" t="s">
        <v>13</v>
      </c>
      <c r="D29" s="91">
        <v>12</v>
      </c>
      <c r="E29" s="91"/>
      <c r="F29" s="186">
        <f t="shared" si="0"/>
        <v>0</v>
      </c>
      <c r="G29" s="91"/>
      <c r="H29" s="186">
        <f t="shared" si="1"/>
        <v>0</v>
      </c>
      <c r="I29" s="91"/>
      <c r="J29" s="186">
        <f t="shared" si="2"/>
        <v>0</v>
      </c>
      <c r="K29" s="187">
        <f t="shared" si="3"/>
        <v>0</v>
      </c>
    </row>
    <row r="30" spans="1:11" s="189" customFormat="1" x14ac:dyDescent="0.35">
      <c r="A30" s="188"/>
      <c r="B30" s="33" t="s">
        <v>245</v>
      </c>
      <c r="C30" s="89" t="s">
        <v>13</v>
      </c>
      <c r="D30" s="91">
        <f>D29*1.05</f>
        <v>12.600000000000001</v>
      </c>
      <c r="E30" s="91"/>
      <c r="F30" s="186">
        <f t="shared" si="0"/>
        <v>0</v>
      </c>
      <c r="G30" s="91"/>
      <c r="H30" s="186">
        <f t="shared" si="1"/>
        <v>0</v>
      </c>
      <c r="I30" s="91"/>
      <c r="J30" s="186">
        <f t="shared" si="2"/>
        <v>0</v>
      </c>
      <c r="K30" s="187">
        <f t="shared" si="3"/>
        <v>0</v>
      </c>
    </row>
    <row r="31" spans="1:11" s="189" customFormat="1" x14ac:dyDescent="0.35">
      <c r="A31" s="188"/>
      <c r="B31" s="33" t="s">
        <v>50</v>
      </c>
      <c r="C31" s="89" t="s">
        <v>19</v>
      </c>
      <c r="D31" s="91">
        <f>D29*6</f>
        <v>72</v>
      </c>
      <c r="E31" s="91"/>
      <c r="F31" s="186">
        <f t="shared" si="0"/>
        <v>0</v>
      </c>
      <c r="G31" s="91"/>
      <c r="H31" s="186">
        <f t="shared" si="1"/>
        <v>0</v>
      </c>
      <c r="I31" s="91"/>
      <c r="J31" s="186">
        <f t="shared" si="2"/>
        <v>0</v>
      </c>
      <c r="K31" s="187">
        <f t="shared" si="3"/>
        <v>0</v>
      </c>
    </row>
    <row r="32" spans="1:11" s="189" customFormat="1" x14ac:dyDescent="0.35">
      <c r="A32" s="188"/>
      <c r="B32" s="33" t="s">
        <v>246</v>
      </c>
      <c r="C32" s="89" t="s">
        <v>19</v>
      </c>
      <c r="D32" s="91">
        <f>D29*0.04</f>
        <v>0.48</v>
      </c>
      <c r="E32" s="91"/>
      <c r="F32" s="186">
        <f t="shared" si="0"/>
        <v>0</v>
      </c>
      <c r="G32" s="91"/>
      <c r="H32" s="186">
        <f t="shared" si="1"/>
        <v>0</v>
      </c>
      <c r="I32" s="91"/>
      <c r="J32" s="186">
        <f t="shared" si="2"/>
        <v>0</v>
      </c>
      <c r="K32" s="187">
        <f t="shared" si="3"/>
        <v>0</v>
      </c>
    </row>
    <row r="33" spans="1:11" s="189" customFormat="1" x14ac:dyDescent="0.35">
      <c r="A33" s="188"/>
      <c r="B33" s="33" t="s">
        <v>51</v>
      </c>
      <c r="C33" s="89" t="s">
        <v>14</v>
      </c>
      <c r="D33" s="91">
        <f>D29*0.1</f>
        <v>1.2000000000000002</v>
      </c>
      <c r="E33" s="91"/>
      <c r="F33" s="186">
        <f t="shared" si="0"/>
        <v>0</v>
      </c>
      <c r="G33" s="91"/>
      <c r="H33" s="186">
        <f t="shared" si="1"/>
        <v>0</v>
      </c>
      <c r="I33" s="91"/>
      <c r="J33" s="186">
        <f t="shared" si="2"/>
        <v>0</v>
      </c>
      <c r="K33" s="187">
        <f t="shared" si="3"/>
        <v>0</v>
      </c>
    </row>
    <row r="34" spans="1:11" s="189" customFormat="1" ht="19.5" customHeight="1" x14ac:dyDescent="0.35">
      <c r="A34" s="188"/>
      <c r="B34" s="33" t="s">
        <v>17</v>
      </c>
      <c r="C34" s="89" t="s">
        <v>18</v>
      </c>
      <c r="D34" s="91">
        <f>D29*0.1</f>
        <v>1.2000000000000002</v>
      </c>
      <c r="E34" s="91"/>
      <c r="F34" s="186">
        <f t="shared" si="0"/>
        <v>0</v>
      </c>
      <c r="G34" s="91"/>
      <c r="H34" s="186">
        <f t="shared" si="1"/>
        <v>0</v>
      </c>
      <c r="I34" s="91"/>
      <c r="J34" s="186">
        <f t="shared" si="2"/>
        <v>0</v>
      </c>
      <c r="K34" s="187">
        <f t="shared" si="3"/>
        <v>0</v>
      </c>
    </row>
    <row r="35" spans="1:11" s="189" customFormat="1" ht="19.5" customHeight="1" x14ac:dyDescent="0.35">
      <c r="A35" s="190"/>
      <c r="B35" s="56" t="s">
        <v>247</v>
      </c>
      <c r="C35" s="89"/>
      <c r="D35" s="91"/>
      <c r="E35" s="91"/>
      <c r="F35" s="186">
        <f t="shared" si="0"/>
        <v>0</v>
      </c>
      <c r="G35" s="91"/>
      <c r="H35" s="186">
        <f t="shared" si="1"/>
        <v>0</v>
      </c>
      <c r="I35" s="91"/>
      <c r="J35" s="186">
        <f t="shared" si="2"/>
        <v>0</v>
      </c>
      <c r="K35" s="187">
        <f t="shared" si="3"/>
        <v>0</v>
      </c>
    </row>
    <row r="36" spans="1:11" s="189" customFormat="1" ht="21" customHeight="1" x14ac:dyDescent="0.35">
      <c r="A36" s="227">
        <v>1</v>
      </c>
      <c r="B36" s="90" t="s">
        <v>248</v>
      </c>
      <c r="C36" s="89" t="s">
        <v>13</v>
      </c>
      <c r="D36" s="84">
        <f>52*3.2-16</f>
        <v>150.4</v>
      </c>
      <c r="E36" s="84"/>
      <c r="F36" s="186">
        <f t="shared" si="0"/>
        <v>0</v>
      </c>
      <c r="G36" s="84"/>
      <c r="H36" s="186">
        <f t="shared" si="1"/>
        <v>0</v>
      </c>
      <c r="I36" s="84"/>
      <c r="J36" s="186">
        <f t="shared" si="2"/>
        <v>0</v>
      </c>
      <c r="K36" s="187">
        <f t="shared" si="3"/>
        <v>0</v>
      </c>
    </row>
    <row r="37" spans="1:11" s="189" customFormat="1" ht="21" customHeight="1" x14ac:dyDescent="0.35">
      <c r="A37" s="227">
        <v>2</v>
      </c>
      <c r="B37" s="90" t="s">
        <v>249</v>
      </c>
      <c r="C37" s="89" t="s">
        <v>13</v>
      </c>
      <c r="D37" s="84">
        <f>25*3</f>
        <v>75</v>
      </c>
      <c r="E37" s="84"/>
      <c r="F37" s="186">
        <f t="shared" si="0"/>
        <v>0</v>
      </c>
      <c r="G37" s="84"/>
      <c r="H37" s="186">
        <f t="shared" si="1"/>
        <v>0</v>
      </c>
      <c r="I37" s="84"/>
      <c r="J37" s="186">
        <f t="shared" si="2"/>
        <v>0</v>
      </c>
      <c r="K37" s="187">
        <f t="shared" si="3"/>
        <v>0</v>
      </c>
    </row>
    <row r="38" spans="1:11" s="189" customFormat="1" ht="21" customHeight="1" x14ac:dyDescent="0.35">
      <c r="A38" s="227">
        <v>3</v>
      </c>
      <c r="B38" s="90" t="s">
        <v>250</v>
      </c>
      <c r="C38" s="89" t="s">
        <v>13</v>
      </c>
      <c r="D38" s="84">
        <f>(D37+D36)*2</f>
        <v>450.8</v>
      </c>
      <c r="E38" s="84"/>
      <c r="F38" s="186">
        <f t="shared" si="0"/>
        <v>0</v>
      </c>
      <c r="G38" s="84"/>
      <c r="H38" s="186">
        <f t="shared" si="1"/>
        <v>0</v>
      </c>
      <c r="I38" s="84"/>
      <c r="J38" s="186">
        <f t="shared" si="2"/>
        <v>0</v>
      </c>
      <c r="K38" s="187">
        <f t="shared" si="3"/>
        <v>0</v>
      </c>
    </row>
    <row r="39" spans="1:11" s="189" customFormat="1" ht="19.5" customHeight="1" x14ac:dyDescent="0.35">
      <c r="A39" s="227"/>
      <c r="B39" s="18" t="s">
        <v>251</v>
      </c>
      <c r="C39" s="24" t="s">
        <v>225</v>
      </c>
      <c r="D39" s="84">
        <f>D38*0.025+D41/42*0.15+D40/64*0.15</f>
        <v>20.181551339285715</v>
      </c>
      <c r="E39" s="84"/>
      <c r="F39" s="186">
        <f t="shared" si="0"/>
        <v>0</v>
      </c>
      <c r="G39" s="84"/>
      <c r="H39" s="186">
        <f t="shared" si="1"/>
        <v>0</v>
      </c>
      <c r="I39" s="84"/>
      <c r="J39" s="186">
        <f t="shared" si="2"/>
        <v>0</v>
      </c>
      <c r="K39" s="187">
        <f t="shared" si="3"/>
        <v>0</v>
      </c>
    </row>
    <row r="40" spans="1:11" s="189" customFormat="1" ht="19.5" customHeight="1" x14ac:dyDescent="0.35">
      <c r="A40" s="227"/>
      <c r="B40" s="18" t="s">
        <v>252</v>
      </c>
      <c r="C40" s="24" t="s">
        <v>253</v>
      </c>
      <c r="D40" s="93">
        <f>D37*12.5</f>
        <v>937.5</v>
      </c>
      <c r="E40" s="84"/>
      <c r="F40" s="186">
        <f t="shared" si="0"/>
        <v>0</v>
      </c>
      <c r="G40" s="84"/>
      <c r="H40" s="186">
        <f t="shared" si="1"/>
        <v>0</v>
      </c>
      <c r="I40" s="84"/>
      <c r="J40" s="186">
        <f t="shared" si="2"/>
        <v>0</v>
      </c>
      <c r="K40" s="187">
        <f t="shared" si="3"/>
        <v>0</v>
      </c>
    </row>
    <row r="41" spans="1:11" s="189" customFormat="1" ht="19.5" customHeight="1" x14ac:dyDescent="0.35">
      <c r="A41" s="227"/>
      <c r="B41" s="18" t="s">
        <v>254</v>
      </c>
      <c r="C41" s="24" t="s">
        <v>253</v>
      </c>
      <c r="D41" s="93">
        <f>D36*12.5</f>
        <v>1880</v>
      </c>
      <c r="E41" s="84"/>
      <c r="F41" s="186">
        <f t="shared" si="0"/>
        <v>0</v>
      </c>
      <c r="G41" s="84"/>
      <c r="H41" s="186">
        <f t="shared" si="1"/>
        <v>0</v>
      </c>
      <c r="I41" s="84"/>
      <c r="J41" s="186">
        <f t="shared" si="2"/>
        <v>0</v>
      </c>
      <c r="K41" s="187">
        <f t="shared" si="3"/>
        <v>0</v>
      </c>
    </row>
    <row r="42" spans="1:11" s="189" customFormat="1" ht="19.5" customHeight="1" x14ac:dyDescent="0.35">
      <c r="A42" s="227"/>
      <c r="B42" s="33" t="s">
        <v>255</v>
      </c>
      <c r="C42" s="24" t="s">
        <v>15</v>
      </c>
      <c r="D42" s="91">
        <f>69*4</f>
        <v>276</v>
      </c>
      <c r="E42" s="84"/>
      <c r="F42" s="186">
        <f t="shared" si="0"/>
        <v>0</v>
      </c>
      <c r="G42" s="84"/>
      <c r="H42" s="186">
        <f t="shared" si="1"/>
        <v>0</v>
      </c>
      <c r="I42" s="84"/>
      <c r="J42" s="186">
        <f t="shared" si="2"/>
        <v>0</v>
      </c>
      <c r="K42" s="187">
        <f t="shared" si="3"/>
        <v>0</v>
      </c>
    </row>
    <row r="43" spans="1:11" s="189" customFormat="1" ht="19.5" customHeight="1" x14ac:dyDescent="0.35">
      <c r="A43" s="227"/>
      <c r="B43" s="18" t="s">
        <v>235</v>
      </c>
      <c r="C43" s="24" t="s">
        <v>18</v>
      </c>
      <c r="D43" s="84">
        <f>5</f>
        <v>5</v>
      </c>
      <c r="E43" s="84"/>
      <c r="F43" s="186">
        <f t="shared" si="0"/>
        <v>0</v>
      </c>
      <c r="G43" s="84"/>
      <c r="H43" s="186">
        <f t="shared" si="1"/>
        <v>0</v>
      </c>
      <c r="I43" s="84"/>
      <c r="J43" s="186">
        <f t="shared" si="2"/>
        <v>0</v>
      </c>
      <c r="K43" s="187">
        <f t="shared" si="3"/>
        <v>0</v>
      </c>
    </row>
    <row r="44" spans="1:11" s="189" customFormat="1" ht="32.25" customHeight="1" x14ac:dyDescent="0.35">
      <c r="A44" s="227">
        <v>4</v>
      </c>
      <c r="B44" s="20" t="s">
        <v>256</v>
      </c>
      <c r="C44" s="24" t="s">
        <v>225</v>
      </c>
      <c r="D44" s="84">
        <f>0.4*0.4*3*9</f>
        <v>4.3200000000000012</v>
      </c>
      <c r="E44" s="84"/>
      <c r="F44" s="186">
        <f t="shared" si="0"/>
        <v>0</v>
      </c>
      <c r="G44" s="84"/>
      <c r="H44" s="186">
        <f t="shared" si="1"/>
        <v>0</v>
      </c>
      <c r="I44" s="84"/>
      <c r="J44" s="186">
        <f t="shared" si="2"/>
        <v>0</v>
      </c>
      <c r="K44" s="187">
        <f t="shared" si="3"/>
        <v>0</v>
      </c>
    </row>
    <row r="45" spans="1:11" s="189" customFormat="1" ht="19.5" customHeight="1" x14ac:dyDescent="0.35">
      <c r="A45" s="227"/>
      <c r="B45" s="18" t="s">
        <v>257</v>
      </c>
      <c r="C45" s="24" t="s">
        <v>225</v>
      </c>
      <c r="D45" s="84">
        <f>1.015*D44</f>
        <v>4.3848000000000011</v>
      </c>
      <c r="E45" s="84"/>
      <c r="F45" s="186">
        <f t="shared" si="0"/>
        <v>0</v>
      </c>
      <c r="G45" s="84"/>
      <c r="H45" s="186">
        <f t="shared" si="1"/>
        <v>0</v>
      </c>
      <c r="I45" s="84"/>
      <c r="J45" s="186">
        <f t="shared" si="2"/>
        <v>0</v>
      </c>
      <c r="K45" s="187">
        <f t="shared" si="3"/>
        <v>0</v>
      </c>
    </row>
    <row r="46" spans="1:11" s="189" customFormat="1" ht="19.5" customHeight="1" x14ac:dyDescent="0.35">
      <c r="A46" s="227"/>
      <c r="B46" s="18" t="s">
        <v>258</v>
      </c>
      <c r="C46" s="24" t="s">
        <v>44</v>
      </c>
      <c r="D46" s="84">
        <f>2.1*D44</f>
        <v>9.0720000000000027</v>
      </c>
      <c r="E46" s="84"/>
      <c r="F46" s="186">
        <f t="shared" si="0"/>
        <v>0</v>
      </c>
      <c r="G46" s="84"/>
      <c r="H46" s="186">
        <f t="shared" si="1"/>
        <v>0</v>
      </c>
      <c r="I46" s="84"/>
      <c r="J46" s="186">
        <f t="shared" si="2"/>
        <v>0</v>
      </c>
      <c r="K46" s="187">
        <f t="shared" si="3"/>
        <v>0</v>
      </c>
    </row>
    <row r="47" spans="1:11" s="189" customFormat="1" ht="19.5" customHeight="1" x14ac:dyDescent="0.35">
      <c r="A47" s="227"/>
      <c r="B47" s="18" t="s">
        <v>259</v>
      </c>
      <c r="C47" s="24" t="s">
        <v>225</v>
      </c>
      <c r="D47" s="84">
        <f>0.0563*D44</f>
        <v>0.24321600000000007</v>
      </c>
      <c r="E47" s="84"/>
      <c r="F47" s="186">
        <f t="shared" si="0"/>
        <v>0</v>
      </c>
      <c r="G47" s="84"/>
      <c r="H47" s="186">
        <f t="shared" si="1"/>
        <v>0</v>
      </c>
      <c r="I47" s="84"/>
      <c r="J47" s="186">
        <f t="shared" si="2"/>
        <v>0</v>
      </c>
      <c r="K47" s="187">
        <f t="shared" si="3"/>
        <v>0</v>
      </c>
    </row>
    <row r="48" spans="1:11" s="189" customFormat="1" ht="19.5" customHeight="1" x14ac:dyDescent="0.35">
      <c r="A48" s="227"/>
      <c r="B48" s="33" t="s">
        <v>228</v>
      </c>
      <c r="C48" s="184" t="s">
        <v>15</v>
      </c>
      <c r="D48" s="91">
        <f>4*3*6</f>
        <v>72</v>
      </c>
      <c r="E48" s="84"/>
      <c r="F48" s="186">
        <f t="shared" si="0"/>
        <v>0</v>
      </c>
      <c r="G48" s="84"/>
      <c r="H48" s="186">
        <f t="shared" si="1"/>
        <v>0</v>
      </c>
      <c r="I48" s="84"/>
      <c r="J48" s="186">
        <f t="shared" si="2"/>
        <v>0</v>
      </c>
      <c r="K48" s="187">
        <f t="shared" si="3"/>
        <v>0</v>
      </c>
    </row>
    <row r="49" spans="1:11" s="189" customFormat="1" ht="19.5" customHeight="1" x14ac:dyDescent="0.35">
      <c r="A49" s="227"/>
      <c r="B49" s="33" t="s">
        <v>260</v>
      </c>
      <c r="C49" s="184" t="s">
        <v>15</v>
      </c>
      <c r="D49" s="91">
        <f>1.6*5*18</f>
        <v>144</v>
      </c>
      <c r="E49" s="84"/>
      <c r="F49" s="186">
        <f t="shared" si="0"/>
        <v>0</v>
      </c>
      <c r="G49" s="84"/>
      <c r="H49" s="186">
        <f t="shared" si="1"/>
        <v>0</v>
      </c>
      <c r="I49" s="84"/>
      <c r="J49" s="186">
        <f t="shared" si="2"/>
        <v>0</v>
      </c>
      <c r="K49" s="187">
        <f t="shared" si="3"/>
        <v>0</v>
      </c>
    </row>
    <row r="50" spans="1:11" s="189" customFormat="1" ht="19.5" customHeight="1" x14ac:dyDescent="0.35">
      <c r="A50" s="227"/>
      <c r="B50" s="18" t="s">
        <v>230</v>
      </c>
      <c r="C50" s="24" t="s">
        <v>19</v>
      </c>
      <c r="D50" s="84">
        <v>2</v>
      </c>
      <c r="E50" s="84"/>
      <c r="F50" s="186">
        <f t="shared" si="0"/>
        <v>0</v>
      </c>
      <c r="G50" s="84"/>
      <c r="H50" s="186">
        <f t="shared" si="1"/>
        <v>0</v>
      </c>
      <c r="I50" s="84"/>
      <c r="J50" s="186">
        <f t="shared" si="2"/>
        <v>0</v>
      </c>
      <c r="K50" s="187">
        <f t="shared" si="3"/>
        <v>0</v>
      </c>
    </row>
    <row r="51" spans="1:11" s="189" customFormat="1" ht="19.5" customHeight="1" x14ac:dyDescent="0.35">
      <c r="A51" s="227"/>
      <c r="B51" s="18" t="s">
        <v>231</v>
      </c>
      <c r="C51" s="24" t="s">
        <v>19</v>
      </c>
      <c r="D51" s="84">
        <v>1.5</v>
      </c>
      <c r="E51" s="84"/>
      <c r="F51" s="186">
        <f t="shared" si="0"/>
        <v>0</v>
      </c>
      <c r="G51" s="84"/>
      <c r="H51" s="186">
        <f t="shared" si="1"/>
        <v>0</v>
      </c>
      <c r="I51" s="84"/>
      <c r="J51" s="186">
        <f t="shared" si="2"/>
        <v>0</v>
      </c>
      <c r="K51" s="187">
        <f t="shared" si="3"/>
        <v>0</v>
      </c>
    </row>
    <row r="52" spans="1:11" s="189" customFormat="1" ht="19.5" customHeight="1" x14ac:dyDescent="0.35">
      <c r="A52" s="227"/>
      <c r="B52" s="18" t="s">
        <v>233</v>
      </c>
      <c r="C52" s="24" t="s">
        <v>19</v>
      </c>
      <c r="D52" s="84">
        <v>1.5</v>
      </c>
      <c r="E52" s="84"/>
      <c r="F52" s="186">
        <f t="shared" si="0"/>
        <v>0</v>
      </c>
      <c r="G52" s="84"/>
      <c r="H52" s="186">
        <f t="shared" si="1"/>
        <v>0</v>
      </c>
      <c r="I52" s="84"/>
      <c r="J52" s="186">
        <f t="shared" si="2"/>
        <v>0</v>
      </c>
      <c r="K52" s="187">
        <f t="shared" si="3"/>
        <v>0</v>
      </c>
    </row>
    <row r="53" spans="1:11" s="189" customFormat="1" ht="19.5" customHeight="1" x14ac:dyDescent="0.35">
      <c r="A53" s="227"/>
      <c r="B53" s="33" t="s">
        <v>234</v>
      </c>
      <c r="C53" s="10" t="s">
        <v>37</v>
      </c>
      <c r="D53" s="84">
        <v>4</v>
      </c>
      <c r="E53" s="84"/>
      <c r="F53" s="186">
        <f t="shared" si="0"/>
        <v>0</v>
      </c>
      <c r="G53" s="84"/>
      <c r="H53" s="186">
        <f t="shared" si="1"/>
        <v>0</v>
      </c>
      <c r="I53" s="84"/>
      <c r="J53" s="186">
        <f t="shared" si="2"/>
        <v>0</v>
      </c>
      <c r="K53" s="187">
        <f t="shared" si="3"/>
        <v>0</v>
      </c>
    </row>
    <row r="54" spans="1:11" s="189" customFormat="1" ht="19.5" customHeight="1" x14ac:dyDescent="0.35">
      <c r="A54" s="227"/>
      <c r="B54" s="18" t="s">
        <v>235</v>
      </c>
      <c r="C54" s="24" t="s">
        <v>18</v>
      </c>
      <c r="D54" s="84">
        <v>4</v>
      </c>
      <c r="E54" s="84"/>
      <c r="F54" s="186">
        <f t="shared" si="0"/>
        <v>0</v>
      </c>
      <c r="G54" s="84"/>
      <c r="H54" s="186">
        <f t="shared" si="1"/>
        <v>0</v>
      </c>
      <c r="I54" s="84"/>
      <c r="J54" s="186">
        <f t="shared" si="2"/>
        <v>0</v>
      </c>
      <c r="K54" s="187">
        <f t="shared" si="3"/>
        <v>0</v>
      </c>
    </row>
    <row r="55" spans="1:11" s="189" customFormat="1" ht="31.5" customHeight="1" x14ac:dyDescent="0.35">
      <c r="A55" s="227">
        <v>5</v>
      </c>
      <c r="B55" s="20" t="s">
        <v>261</v>
      </c>
      <c r="C55" s="24" t="s">
        <v>225</v>
      </c>
      <c r="D55" s="84">
        <f>0.3*0.2*70+0.2*0.2*16</f>
        <v>4.84</v>
      </c>
      <c r="E55" s="84"/>
      <c r="F55" s="186">
        <f t="shared" si="0"/>
        <v>0</v>
      </c>
      <c r="G55" s="84"/>
      <c r="H55" s="186">
        <f t="shared" si="1"/>
        <v>0</v>
      </c>
      <c r="I55" s="84"/>
      <c r="J55" s="186">
        <f t="shared" si="2"/>
        <v>0</v>
      </c>
      <c r="K55" s="187">
        <f t="shared" si="3"/>
        <v>0</v>
      </c>
    </row>
    <row r="56" spans="1:11" s="189" customFormat="1" ht="19.5" customHeight="1" x14ac:dyDescent="0.35">
      <c r="A56" s="227"/>
      <c r="B56" s="18" t="s">
        <v>257</v>
      </c>
      <c r="C56" s="24" t="s">
        <v>225</v>
      </c>
      <c r="D56" s="84">
        <f>1.015*D55</f>
        <v>4.9125999999999994</v>
      </c>
      <c r="E56" s="84"/>
      <c r="F56" s="186">
        <f t="shared" si="0"/>
        <v>0</v>
      </c>
      <c r="G56" s="84"/>
      <c r="H56" s="186">
        <f t="shared" si="1"/>
        <v>0</v>
      </c>
      <c r="I56" s="84"/>
      <c r="J56" s="186">
        <f t="shared" si="2"/>
        <v>0</v>
      </c>
      <c r="K56" s="187">
        <f t="shared" si="3"/>
        <v>0</v>
      </c>
    </row>
    <row r="57" spans="1:11" s="189" customFormat="1" ht="19.5" customHeight="1" x14ac:dyDescent="0.35">
      <c r="A57" s="227"/>
      <c r="B57" s="18" t="s">
        <v>258</v>
      </c>
      <c r="C57" s="24" t="s">
        <v>44</v>
      </c>
      <c r="D57" s="84">
        <v>4.5</v>
      </c>
      <c r="E57" s="84"/>
      <c r="F57" s="186">
        <f t="shared" si="0"/>
        <v>0</v>
      </c>
      <c r="G57" s="84"/>
      <c r="H57" s="186">
        <f t="shared" si="1"/>
        <v>0</v>
      </c>
      <c r="I57" s="84"/>
      <c r="J57" s="186">
        <f t="shared" si="2"/>
        <v>0</v>
      </c>
      <c r="K57" s="187">
        <f t="shared" si="3"/>
        <v>0</v>
      </c>
    </row>
    <row r="58" spans="1:11" s="189" customFormat="1" ht="19.5" customHeight="1" x14ac:dyDescent="0.35">
      <c r="A58" s="227"/>
      <c r="B58" s="18" t="s">
        <v>259</v>
      </c>
      <c r="C58" s="24" t="s">
        <v>225</v>
      </c>
      <c r="D58" s="84">
        <v>0.01</v>
      </c>
      <c r="E58" s="84"/>
      <c r="F58" s="186">
        <f t="shared" si="0"/>
        <v>0</v>
      </c>
      <c r="G58" s="84"/>
      <c r="H58" s="186">
        <f t="shared" si="1"/>
        <v>0</v>
      </c>
      <c r="I58" s="84"/>
      <c r="J58" s="186">
        <f t="shared" si="2"/>
        <v>0</v>
      </c>
      <c r="K58" s="187">
        <f t="shared" si="3"/>
        <v>0</v>
      </c>
    </row>
    <row r="59" spans="1:11" s="189" customFormat="1" ht="19.5" customHeight="1" x14ac:dyDescent="0.35">
      <c r="A59" s="227"/>
      <c r="B59" s="33" t="s">
        <v>227</v>
      </c>
      <c r="C59" s="24" t="s">
        <v>15</v>
      </c>
      <c r="D59" s="91">
        <f>(48+8+8)*4</f>
        <v>256</v>
      </c>
      <c r="E59" s="84"/>
      <c r="F59" s="186">
        <f t="shared" si="0"/>
        <v>0</v>
      </c>
      <c r="G59" s="84"/>
      <c r="H59" s="186">
        <f t="shared" si="1"/>
        <v>0</v>
      </c>
      <c r="I59" s="84"/>
      <c r="J59" s="186">
        <f t="shared" si="2"/>
        <v>0</v>
      </c>
      <c r="K59" s="187">
        <f t="shared" si="3"/>
        <v>0</v>
      </c>
    </row>
    <row r="60" spans="1:11" s="189" customFormat="1" ht="19.5" customHeight="1" x14ac:dyDescent="0.35">
      <c r="A60" s="227"/>
      <c r="B60" s="33" t="s">
        <v>229</v>
      </c>
      <c r="C60" s="24" t="s">
        <v>15</v>
      </c>
      <c r="D60" s="91">
        <f>64*5*1.2</f>
        <v>384</v>
      </c>
      <c r="E60" s="84"/>
      <c r="F60" s="186">
        <f t="shared" si="0"/>
        <v>0</v>
      </c>
      <c r="G60" s="84"/>
      <c r="H60" s="186">
        <f t="shared" si="1"/>
        <v>0</v>
      </c>
      <c r="I60" s="84"/>
      <c r="J60" s="186">
        <f t="shared" si="2"/>
        <v>0</v>
      </c>
      <c r="K60" s="187">
        <f t="shared" si="3"/>
        <v>0</v>
      </c>
    </row>
    <row r="61" spans="1:11" s="189" customFormat="1" ht="19.5" customHeight="1" x14ac:dyDescent="0.35">
      <c r="A61" s="227"/>
      <c r="B61" s="18" t="s">
        <v>230</v>
      </c>
      <c r="C61" s="24" t="s">
        <v>19</v>
      </c>
      <c r="D61" s="84">
        <v>2.5</v>
      </c>
      <c r="E61" s="84"/>
      <c r="F61" s="186">
        <f t="shared" si="0"/>
        <v>0</v>
      </c>
      <c r="G61" s="84"/>
      <c r="H61" s="186">
        <f t="shared" si="1"/>
        <v>0</v>
      </c>
      <c r="I61" s="84"/>
      <c r="J61" s="186">
        <f t="shared" si="2"/>
        <v>0</v>
      </c>
      <c r="K61" s="187">
        <f t="shared" si="3"/>
        <v>0</v>
      </c>
    </row>
    <row r="62" spans="1:11" s="189" customFormat="1" ht="19.5" customHeight="1" x14ac:dyDescent="0.35">
      <c r="A62" s="227"/>
      <c r="B62" s="18" t="s">
        <v>231</v>
      </c>
      <c r="C62" s="24" t="s">
        <v>19</v>
      </c>
      <c r="D62" s="84">
        <v>2</v>
      </c>
      <c r="E62" s="84"/>
      <c r="F62" s="186">
        <f t="shared" si="0"/>
        <v>0</v>
      </c>
      <c r="G62" s="84"/>
      <c r="H62" s="186">
        <f t="shared" si="1"/>
        <v>0</v>
      </c>
      <c r="I62" s="84"/>
      <c r="J62" s="186">
        <f t="shared" si="2"/>
        <v>0</v>
      </c>
      <c r="K62" s="187">
        <f t="shared" si="3"/>
        <v>0</v>
      </c>
    </row>
    <row r="63" spans="1:11" s="189" customFormat="1" ht="19.5" customHeight="1" x14ac:dyDescent="0.35">
      <c r="A63" s="227"/>
      <c r="B63" s="18" t="s">
        <v>233</v>
      </c>
      <c r="C63" s="24" t="s">
        <v>19</v>
      </c>
      <c r="D63" s="84">
        <v>1.5</v>
      </c>
      <c r="E63" s="84"/>
      <c r="F63" s="186">
        <f t="shared" si="0"/>
        <v>0</v>
      </c>
      <c r="G63" s="84"/>
      <c r="H63" s="186">
        <f t="shared" si="1"/>
        <v>0</v>
      </c>
      <c r="I63" s="84"/>
      <c r="J63" s="186">
        <f t="shared" si="2"/>
        <v>0</v>
      </c>
      <c r="K63" s="187">
        <f t="shared" si="3"/>
        <v>0</v>
      </c>
    </row>
    <row r="64" spans="1:11" s="189" customFormat="1" ht="19.5" customHeight="1" x14ac:dyDescent="0.35">
      <c r="A64" s="227"/>
      <c r="B64" s="33" t="s">
        <v>234</v>
      </c>
      <c r="C64" s="10" t="s">
        <v>37</v>
      </c>
      <c r="D64" s="84">
        <v>3</v>
      </c>
      <c r="E64" s="84"/>
      <c r="F64" s="186">
        <f t="shared" si="0"/>
        <v>0</v>
      </c>
      <c r="G64" s="84"/>
      <c r="H64" s="186">
        <f t="shared" si="1"/>
        <v>0</v>
      </c>
      <c r="I64" s="84"/>
      <c r="J64" s="186">
        <f t="shared" si="2"/>
        <v>0</v>
      </c>
      <c r="K64" s="187">
        <f t="shared" si="3"/>
        <v>0</v>
      </c>
    </row>
    <row r="65" spans="1:11" s="189" customFormat="1" ht="19.5" customHeight="1" x14ac:dyDescent="0.35">
      <c r="A65" s="227"/>
      <c r="B65" s="18" t="s">
        <v>235</v>
      </c>
      <c r="C65" s="24" t="s">
        <v>18</v>
      </c>
      <c r="D65" s="84">
        <v>4</v>
      </c>
      <c r="E65" s="84"/>
      <c r="F65" s="186">
        <f t="shared" si="0"/>
        <v>0</v>
      </c>
      <c r="G65" s="84"/>
      <c r="H65" s="186">
        <f t="shared" si="1"/>
        <v>0</v>
      </c>
      <c r="I65" s="84"/>
      <c r="J65" s="186">
        <f t="shared" si="2"/>
        <v>0</v>
      </c>
      <c r="K65" s="187">
        <f t="shared" si="3"/>
        <v>0</v>
      </c>
    </row>
    <row r="66" spans="1:11" s="189" customFormat="1" ht="19.5" customHeight="1" x14ac:dyDescent="0.35">
      <c r="A66" s="227">
        <v>6</v>
      </c>
      <c r="B66" s="20" t="s">
        <v>262</v>
      </c>
      <c r="C66" s="24" t="s">
        <v>225</v>
      </c>
      <c r="D66" s="84">
        <f>140*1.05*0.125</f>
        <v>18.375</v>
      </c>
      <c r="E66" s="84"/>
      <c r="F66" s="186">
        <f t="shared" si="0"/>
        <v>0</v>
      </c>
      <c r="G66" s="84"/>
      <c r="H66" s="186">
        <f t="shared" si="1"/>
        <v>0</v>
      </c>
      <c r="I66" s="84"/>
      <c r="J66" s="186">
        <f t="shared" si="2"/>
        <v>0</v>
      </c>
      <c r="K66" s="187">
        <f t="shared" si="3"/>
        <v>0</v>
      </c>
    </row>
    <row r="67" spans="1:11" s="189" customFormat="1" ht="19.5" customHeight="1" x14ac:dyDescent="0.35">
      <c r="A67" s="227"/>
      <c r="B67" s="18" t="s">
        <v>263</v>
      </c>
      <c r="C67" s="24" t="s">
        <v>225</v>
      </c>
      <c r="D67" s="84">
        <f>1.015*D66</f>
        <v>18.650624999999998</v>
      </c>
      <c r="E67" s="84"/>
      <c r="F67" s="186">
        <f t="shared" si="0"/>
        <v>0</v>
      </c>
      <c r="G67" s="84"/>
      <c r="H67" s="186">
        <f t="shared" si="1"/>
        <v>0</v>
      </c>
      <c r="I67" s="84"/>
      <c r="J67" s="186">
        <f t="shared" si="2"/>
        <v>0</v>
      </c>
      <c r="K67" s="187">
        <f t="shared" si="3"/>
        <v>0</v>
      </c>
    </row>
    <row r="68" spans="1:11" s="189" customFormat="1" ht="19.5" customHeight="1" x14ac:dyDescent="0.35">
      <c r="A68" s="227"/>
      <c r="B68" s="18" t="s">
        <v>264</v>
      </c>
      <c r="C68" s="24" t="s">
        <v>44</v>
      </c>
      <c r="D68" s="84">
        <f>128-10</f>
        <v>118</v>
      </c>
      <c r="E68" s="84"/>
      <c r="F68" s="186">
        <f t="shared" si="0"/>
        <v>0</v>
      </c>
      <c r="G68" s="84"/>
      <c r="H68" s="186">
        <f t="shared" si="1"/>
        <v>0</v>
      </c>
      <c r="I68" s="84"/>
      <c r="J68" s="186">
        <f t="shared" si="2"/>
        <v>0</v>
      </c>
      <c r="K68" s="187">
        <f t="shared" si="3"/>
        <v>0</v>
      </c>
    </row>
    <row r="69" spans="1:11" s="189" customFormat="1" ht="19.5" customHeight="1" x14ac:dyDescent="0.35">
      <c r="A69" s="227"/>
      <c r="B69" s="18" t="s">
        <v>259</v>
      </c>
      <c r="C69" s="24" t="s">
        <v>225</v>
      </c>
      <c r="D69" s="84">
        <v>0.15</v>
      </c>
      <c r="E69" s="84"/>
      <c r="F69" s="186">
        <f t="shared" si="0"/>
        <v>0</v>
      </c>
      <c r="G69" s="84"/>
      <c r="H69" s="186">
        <f t="shared" si="1"/>
        <v>0</v>
      </c>
      <c r="I69" s="84"/>
      <c r="J69" s="186">
        <f t="shared" si="2"/>
        <v>0</v>
      </c>
      <c r="K69" s="187">
        <f t="shared" si="3"/>
        <v>0</v>
      </c>
    </row>
    <row r="70" spans="1:11" s="189" customFormat="1" ht="19.5" customHeight="1" x14ac:dyDescent="0.35">
      <c r="A70" s="227"/>
      <c r="B70" s="33" t="s">
        <v>227</v>
      </c>
      <c r="C70" s="24" t="s">
        <v>15</v>
      </c>
      <c r="D70" s="91">
        <f>128*5</f>
        <v>640</v>
      </c>
      <c r="E70" s="84"/>
      <c r="F70" s="186">
        <f t="shared" si="0"/>
        <v>0</v>
      </c>
      <c r="G70" s="84"/>
      <c r="H70" s="186">
        <f t="shared" si="1"/>
        <v>0</v>
      </c>
      <c r="I70" s="84"/>
      <c r="J70" s="186">
        <f t="shared" si="2"/>
        <v>0</v>
      </c>
      <c r="K70" s="187">
        <f t="shared" si="3"/>
        <v>0</v>
      </c>
    </row>
    <row r="71" spans="1:11" s="189" customFormat="1" ht="19.5" customHeight="1" x14ac:dyDescent="0.35">
      <c r="A71" s="227"/>
      <c r="B71" s="33" t="s">
        <v>229</v>
      </c>
      <c r="C71" s="24" t="s">
        <v>15</v>
      </c>
      <c r="D71" s="91">
        <f>D70*1.05</f>
        <v>672</v>
      </c>
      <c r="E71" s="84"/>
      <c r="F71" s="186">
        <f t="shared" si="0"/>
        <v>0</v>
      </c>
      <c r="G71" s="84"/>
      <c r="H71" s="186">
        <f t="shared" si="1"/>
        <v>0</v>
      </c>
      <c r="I71" s="84"/>
      <c r="J71" s="186">
        <f t="shared" si="2"/>
        <v>0</v>
      </c>
      <c r="K71" s="187">
        <f t="shared" si="3"/>
        <v>0</v>
      </c>
    </row>
    <row r="72" spans="1:11" s="189" customFormat="1" ht="19.5" customHeight="1" x14ac:dyDescent="0.35">
      <c r="A72" s="227"/>
      <c r="B72" s="18" t="s">
        <v>230</v>
      </c>
      <c r="C72" s="24" t="s">
        <v>19</v>
      </c>
      <c r="D72" s="84">
        <v>14</v>
      </c>
      <c r="E72" s="84"/>
      <c r="F72" s="186">
        <f t="shared" ref="F72:F124" si="4">E72*D72</f>
        <v>0</v>
      </c>
      <c r="G72" s="84"/>
      <c r="H72" s="186">
        <f t="shared" ref="H72:H124" si="5">G72*D72</f>
        <v>0</v>
      </c>
      <c r="I72" s="84"/>
      <c r="J72" s="186">
        <f t="shared" ref="J72:J124" si="6">I72*D72</f>
        <v>0</v>
      </c>
      <c r="K72" s="187">
        <f t="shared" ref="K72:K124" si="7">J72+H72+F72</f>
        <v>0</v>
      </c>
    </row>
    <row r="73" spans="1:11" s="189" customFormat="1" ht="19.5" customHeight="1" x14ac:dyDescent="0.35">
      <c r="A73" s="227"/>
      <c r="B73" s="18" t="s">
        <v>231</v>
      </c>
      <c r="C73" s="24" t="s">
        <v>19</v>
      </c>
      <c r="D73" s="84">
        <v>8</v>
      </c>
      <c r="E73" s="84"/>
      <c r="F73" s="186">
        <f t="shared" si="4"/>
        <v>0</v>
      </c>
      <c r="G73" s="84"/>
      <c r="H73" s="186">
        <f t="shared" si="5"/>
        <v>0</v>
      </c>
      <c r="I73" s="84"/>
      <c r="J73" s="186">
        <f t="shared" si="6"/>
        <v>0</v>
      </c>
      <c r="K73" s="187">
        <f t="shared" si="7"/>
        <v>0</v>
      </c>
    </row>
    <row r="74" spans="1:11" s="189" customFormat="1" ht="19.5" customHeight="1" x14ac:dyDescent="0.35">
      <c r="A74" s="227"/>
      <c r="B74" s="18" t="s">
        <v>233</v>
      </c>
      <c r="C74" s="24" t="s">
        <v>19</v>
      </c>
      <c r="D74" s="84">
        <v>7</v>
      </c>
      <c r="E74" s="84"/>
      <c r="F74" s="186">
        <f t="shared" si="4"/>
        <v>0</v>
      </c>
      <c r="G74" s="84"/>
      <c r="H74" s="186">
        <f t="shared" si="5"/>
        <v>0</v>
      </c>
      <c r="I74" s="84"/>
      <c r="J74" s="186">
        <f t="shared" si="6"/>
        <v>0</v>
      </c>
      <c r="K74" s="187">
        <f t="shared" si="7"/>
        <v>0</v>
      </c>
    </row>
    <row r="75" spans="1:11" s="189" customFormat="1" ht="19.5" customHeight="1" x14ac:dyDescent="0.35">
      <c r="A75" s="227"/>
      <c r="B75" s="33" t="s">
        <v>234</v>
      </c>
      <c r="C75" s="10" t="s">
        <v>37</v>
      </c>
      <c r="D75" s="84">
        <v>11</v>
      </c>
      <c r="E75" s="84"/>
      <c r="F75" s="186">
        <f t="shared" si="4"/>
        <v>0</v>
      </c>
      <c r="G75" s="84"/>
      <c r="H75" s="186">
        <f t="shared" si="5"/>
        <v>0</v>
      </c>
      <c r="I75" s="84"/>
      <c r="J75" s="186">
        <f t="shared" si="6"/>
        <v>0</v>
      </c>
      <c r="K75" s="187">
        <f t="shared" si="7"/>
        <v>0</v>
      </c>
    </row>
    <row r="76" spans="1:11" s="189" customFormat="1" ht="19.5" customHeight="1" x14ac:dyDescent="0.35">
      <c r="A76" s="227"/>
      <c r="B76" s="18" t="s">
        <v>235</v>
      </c>
      <c r="C76" s="24" t="s">
        <v>18</v>
      </c>
      <c r="D76" s="84">
        <v>8</v>
      </c>
      <c r="E76" s="84"/>
      <c r="F76" s="186">
        <f t="shared" si="4"/>
        <v>0</v>
      </c>
      <c r="G76" s="84"/>
      <c r="H76" s="186">
        <f t="shared" si="5"/>
        <v>0</v>
      </c>
      <c r="I76" s="84"/>
      <c r="J76" s="186">
        <f t="shared" si="6"/>
        <v>0</v>
      </c>
      <c r="K76" s="187">
        <f t="shared" si="7"/>
        <v>0</v>
      </c>
    </row>
    <row r="77" spans="1:11" s="189" customFormat="1" ht="33.75" customHeight="1" x14ac:dyDescent="0.35">
      <c r="A77" s="227">
        <v>7</v>
      </c>
      <c r="B77" s="90" t="s">
        <v>265</v>
      </c>
      <c r="C77" s="24" t="s">
        <v>15</v>
      </c>
      <c r="D77" s="84">
        <f>16+18</f>
        <v>34</v>
      </c>
      <c r="E77" s="84"/>
      <c r="F77" s="186">
        <f t="shared" si="4"/>
        <v>0</v>
      </c>
      <c r="G77" s="84"/>
      <c r="H77" s="186">
        <f t="shared" si="5"/>
        <v>0</v>
      </c>
      <c r="I77" s="84"/>
      <c r="J77" s="186">
        <f t="shared" si="6"/>
        <v>0</v>
      </c>
      <c r="K77" s="187">
        <f t="shared" si="7"/>
        <v>0</v>
      </c>
    </row>
    <row r="78" spans="1:11" s="189" customFormat="1" ht="19.5" customHeight="1" x14ac:dyDescent="0.35">
      <c r="A78" s="227"/>
      <c r="B78" s="18" t="s">
        <v>266</v>
      </c>
      <c r="C78" s="24" t="s">
        <v>37</v>
      </c>
      <c r="D78" s="84">
        <f>D77*2.5*2</f>
        <v>170</v>
      </c>
      <c r="E78" s="84"/>
      <c r="F78" s="186">
        <f t="shared" si="4"/>
        <v>0</v>
      </c>
      <c r="G78" s="84"/>
      <c r="H78" s="186">
        <f t="shared" si="5"/>
        <v>0</v>
      </c>
      <c r="I78" s="84"/>
      <c r="J78" s="186">
        <f t="shared" si="6"/>
        <v>0</v>
      </c>
      <c r="K78" s="187">
        <f t="shared" si="7"/>
        <v>0</v>
      </c>
    </row>
    <row r="79" spans="1:11" s="189" customFormat="1" ht="19.5" customHeight="1" x14ac:dyDescent="0.35">
      <c r="A79" s="227"/>
      <c r="B79" s="18" t="s">
        <v>251</v>
      </c>
      <c r="C79" s="24" t="s">
        <v>225</v>
      </c>
      <c r="D79" s="84">
        <v>0.2</v>
      </c>
      <c r="E79" s="84"/>
      <c r="F79" s="186">
        <f t="shared" si="4"/>
        <v>0</v>
      </c>
      <c r="G79" s="84"/>
      <c r="H79" s="186">
        <f t="shared" si="5"/>
        <v>0</v>
      </c>
      <c r="I79" s="84"/>
      <c r="J79" s="186">
        <f t="shared" si="6"/>
        <v>0</v>
      </c>
      <c r="K79" s="187">
        <f t="shared" si="7"/>
        <v>0</v>
      </c>
    </row>
    <row r="80" spans="1:11" s="189" customFormat="1" ht="19.5" customHeight="1" x14ac:dyDescent="0.35">
      <c r="A80" s="227"/>
      <c r="B80" s="18" t="s">
        <v>267</v>
      </c>
      <c r="C80" s="24" t="s">
        <v>44</v>
      </c>
      <c r="D80" s="84">
        <f>D77*0.85</f>
        <v>28.9</v>
      </c>
      <c r="E80" s="84"/>
      <c r="F80" s="186">
        <f t="shared" si="4"/>
        <v>0</v>
      </c>
      <c r="G80" s="84"/>
      <c r="H80" s="186">
        <f t="shared" si="5"/>
        <v>0</v>
      </c>
      <c r="I80" s="84"/>
      <c r="J80" s="186">
        <f t="shared" si="6"/>
        <v>0</v>
      </c>
      <c r="K80" s="187">
        <f t="shared" si="7"/>
        <v>0</v>
      </c>
    </row>
    <row r="81" spans="1:11" s="189" customFormat="1" ht="19.5" customHeight="1" x14ac:dyDescent="0.35">
      <c r="A81" s="227"/>
      <c r="B81" s="18" t="s">
        <v>235</v>
      </c>
      <c r="C81" s="24" t="s">
        <v>18</v>
      </c>
      <c r="D81" s="84">
        <v>5</v>
      </c>
      <c r="E81" s="84"/>
      <c r="F81" s="186">
        <f t="shared" si="4"/>
        <v>0</v>
      </c>
      <c r="G81" s="84"/>
      <c r="H81" s="186">
        <f t="shared" si="5"/>
        <v>0</v>
      </c>
      <c r="I81" s="84"/>
      <c r="J81" s="186">
        <f t="shared" si="6"/>
        <v>0</v>
      </c>
      <c r="K81" s="187">
        <f t="shared" si="7"/>
        <v>0</v>
      </c>
    </row>
    <row r="82" spans="1:11" s="189" customFormat="1" ht="19.5" customHeight="1" x14ac:dyDescent="0.35">
      <c r="A82" s="227"/>
      <c r="B82" s="56" t="s">
        <v>268</v>
      </c>
      <c r="C82" s="24"/>
      <c r="D82" s="84"/>
      <c r="E82" s="84"/>
      <c r="F82" s="186">
        <f t="shared" si="4"/>
        <v>0</v>
      </c>
      <c r="G82" s="84"/>
      <c r="H82" s="186">
        <f t="shared" si="5"/>
        <v>0</v>
      </c>
      <c r="I82" s="84"/>
      <c r="J82" s="186">
        <f t="shared" si="6"/>
        <v>0</v>
      </c>
      <c r="K82" s="187">
        <f t="shared" si="7"/>
        <v>0</v>
      </c>
    </row>
    <row r="83" spans="1:11" s="189" customFormat="1" ht="29.25" customHeight="1" x14ac:dyDescent="0.35">
      <c r="A83" s="227">
        <v>1</v>
      </c>
      <c r="B83" s="20" t="s">
        <v>269</v>
      </c>
      <c r="C83" s="24" t="s">
        <v>225</v>
      </c>
      <c r="D83" s="84">
        <f>138*0.08</f>
        <v>11.040000000000001</v>
      </c>
      <c r="E83" s="84"/>
      <c r="F83" s="186">
        <f t="shared" si="4"/>
        <v>0</v>
      </c>
      <c r="G83" s="84"/>
      <c r="H83" s="186">
        <f t="shared" si="5"/>
        <v>0</v>
      </c>
      <c r="I83" s="84"/>
      <c r="J83" s="186">
        <f t="shared" si="6"/>
        <v>0</v>
      </c>
      <c r="K83" s="187">
        <f t="shared" si="7"/>
        <v>0</v>
      </c>
    </row>
    <row r="84" spans="1:11" s="189" customFormat="1" ht="19.5" customHeight="1" x14ac:dyDescent="0.35">
      <c r="A84" s="227"/>
      <c r="B84" s="18" t="s">
        <v>270</v>
      </c>
      <c r="C84" s="24" t="s">
        <v>225</v>
      </c>
      <c r="D84" s="84">
        <f>1.15*D83</f>
        <v>12.696</v>
      </c>
      <c r="E84" s="84"/>
      <c r="F84" s="186">
        <f t="shared" si="4"/>
        <v>0</v>
      </c>
      <c r="G84" s="84"/>
      <c r="H84" s="186">
        <f t="shared" si="5"/>
        <v>0</v>
      </c>
      <c r="I84" s="84"/>
      <c r="J84" s="186">
        <f t="shared" si="6"/>
        <v>0</v>
      </c>
      <c r="K84" s="187">
        <f t="shared" si="7"/>
        <v>0</v>
      </c>
    </row>
    <row r="85" spans="1:11" s="189" customFormat="1" ht="19.5" customHeight="1" x14ac:dyDescent="0.35">
      <c r="A85" s="227">
        <v>2</v>
      </c>
      <c r="B85" s="73" t="s">
        <v>271</v>
      </c>
      <c r="C85" s="24" t="s">
        <v>44</v>
      </c>
      <c r="D85" s="84">
        <v>128</v>
      </c>
      <c r="E85" s="84"/>
      <c r="F85" s="186">
        <f t="shared" si="4"/>
        <v>0</v>
      </c>
      <c r="G85" s="84"/>
      <c r="H85" s="186">
        <f t="shared" si="5"/>
        <v>0</v>
      </c>
      <c r="I85" s="84"/>
      <c r="J85" s="186">
        <f t="shared" si="6"/>
        <v>0</v>
      </c>
      <c r="K85" s="187">
        <f t="shared" si="7"/>
        <v>0</v>
      </c>
    </row>
    <row r="86" spans="1:11" s="189" customFormat="1" ht="19.5" customHeight="1" x14ac:dyDescent="0.35">
      <c r="A86" s="227"/>
      <c r="B86" s="18" t="s">
        <v>272</v>
      </c>
      <c r="C86" s="24" t="s">
        <v>225</v>
      </c>
      <c r="D86" s="84">
        <f>0.053*D85</f>
        <v>6.7839999999999998</v>
      </c>
      <c r="E86" s="84"/>
      <c r="F86" s="186">
        <f t="shared" si="4"/>
        <v>0</v>
      </c>
      <c r="G86" s="84"/>
      <c r="H86" s="186">
        <f t="shared" si="5"/>
        <v>0</v>
      </c>
      <c r="I86" s="84"/>
      <c r="J86" s="186">
        <f t="shared" si="6"/>
        <v>0</v>
      </c>
      <c r="K86" s="187">
        <f t="shared" si="7"/>
        <v>0</v>
      </c>
    </row>
    <row r="87" spans="1:11" s="189" customFormat="1" ht="19.5" customHeight="1" x14ac:dyDescent="0.35">
      <c r="A87" s="227"/>
      <c r="B87" s="18" t="s">
        <v>273</v>
      </c>
      <c r="C87" s="24" t="s">
        <v>18</v>
      </c>
      <c r="D87" s="84">
        <f>0.064*D85</f>
        <v>8.1920000000000002</v>
      </c>
      <c r="E87" s="84"/>
      <c r="F87" s="186">
        <f t="shared" si="4"/>
        <v>0</v>
      </c>
      <c r="G87" s="84"/>
      <c r="H87" s="186">
        <f t="shared" si="5"/>
        <v>0</v>
      </c>
      <c r="I87" s="84"/>
      <c r="J87" s="186">
        <f t="shared" si="6"/>
        <v>0</v>
      </c>
      <c r="K87" s="187">
        <f t="shared" si="7"/>
        <v>0</v>
      </c>
    </row>
    <row r="88" spans="1:11" s="189" customFormat="1" ht="19.5" customHeight="1" x14ac:dyDescent="0.35">
      <c r="A88" s="227">
        <v>3</v>
      </c>
      <c r="B88" s="73" t="s">
        <v>274</v>
      </c>
      <c r="C88" s="24" t="s">
        <v>44</v>
      </c>
      <c r="D88" s="84">
        <v>140</v>
      </c>
      <c r="E88" s="84"/>
      <c r="F88" s="186">
        <f t="shared" si="4"/>
        <v>0</v>
      </c>
      <c r="G88" s="84"/>
      <c r="H88" s="186">
        <f t="shared" si="5"/>
        <v>0</v>
      </c>
      <c r="I88" s="84"/>
      <c r="J88" s="186">
        <f t="shared" si="6"/>
        <v>0</v>
      </c>
      <c r="K88" s="187">
        <f t="shared" si="7"/>
        <v>0</v>
      </c>
    </row>
    <row r="89" spans="1:11" s="189" customFormat="1" ht="19.5" customHeight="1" x14ac:dyDescent="0.35">
      <c r="A89" s="227"/>
      <c r="B89" s="18" t="s">
        <v>275</v>
      </c>
      <c r="C89" s="24" t="s">
        <v>44</v>
      </c>
      <c r="D89" s="84">
        <f>1.12*D88</f>
        <v>156.80000000000001</v>
      </c>
      <c r="E89" s="84"/>
      <c r="F89" s="186">
        <f t="shared" si="4"/>
        <v>0</v>
      </c>
      <c r="G89" s="84"/>
      <c r="H89" s="186">
        <f t="shared" si="5"/>
        <v>0</v>
      </c>
      <c r="I89" s="84"/>
      <c r="J89" s="186">
        <f t="shared" si="6"/>
        <v>0</v>
      </c>
      <c r="K89" s="187">
        <f t="shared" si="7"/>
        <v>0</v>
      </c>
    </row>
    <row r="90" spans="1:11" s="189" customFormat="1" ht="19.5" customHeight="1" x14ac:dyDescent="0.35">
      <c r="A90" s="227"/>
      <c r="B90" s="18" t="s">
        <v>276</v>
      </c>
      <c r="C90" s="24" t="s">
        <v>44</v>
      </c>
      <c r="D90" s="84">
        <f>1.12*D88</f>
        <v>156.80000000000001</v>
      </c>
      <c r="E90" s="84"/>
      <c r="F90" s="186">
        <f t="shared" si="4"/>
        <v>0</v>
      </c>
      <c r="G90" s="84"/>
      <c r="H90" s="186">
        <f t="shared" si="5"/>
        <v>0</v>
      </c>
      <c r="I90" s="84"/>
      <c r="J90" s="186">
        <f t="shared" si="6"/>
        <v>0</v>
      </c>
      <c r="K90" s="187">
        <f t="shared" si="7"/>
        <v>0</v>
      </c>
    </row>
    <row r="91" spans="1:11" s="189" customFormat="1" ht="19.5" customHeight="1" x14ac:dyDescent="0.35">
      <c r="A91" s="227"/>
      <c r="B91" s="18" t="s">
        <v>277</v>
      </c>
      <c r="C91" s="24" t="s">
        <v>19</v>
      </c>
      <c r="D91" s="84">
        <f>0.76*D88</f>
        <v>106.4</v>
      </c>
      <c r="E91" s="84"/>
      <c r="F91" s="186">
        <f t="shared" si="4"/>
        <v>0</v>
      </c>
      <c r="G91" s="84"/>
      <c r="H91" s="186">
        <f t="shared" si="5"/>
        <v>0</v>
      </c>
      <c r="I91" s="84"/>
      <c r="J91" s="186">
        <f t="shared" si="6"/>
        <v>0</v>
      </c>
      <c r="K91" s="187">
        <f t="shared" si="7"/>
        <v>0</v>
      </c>
    </row>
    <row r="92" spans="1:11" s="189" customFormat="1" ht="19.5" customHeight="1" x14ac:dyDescent="0.35">
      <c r="A92" s="227"/>
      <c r="B92" s="18" t="s">
        <v>278</v>
      </c>
      <c r="C92" s="24" t="s">
        <v>19</v>
      </c>
      <c r="D92" s="84">
        <f>0.6*D88</f>
        <v>84</v>
      </c>
      <c r="E92" s="84"/>
      <c r="F92" s="186">
        <f t="shared" si="4"/>
        <v>0</v>
      </c>
      <c r="G92" s="84"/>
      <c r="H92" s="186">
        <f t="shared" si="5"/>
        <v>0</v>
      </c>
      <c r="I92" s="84"/>
      <c r="J92" s="186">
        <f t="shared" si="6"/>
        <v>0</v>
      </c>
      <c r="K92" s="187">
        <f t="shared" si="7"/>
        <v>0</v>
      </c>
    </row>
    <row r="93" spans="1:11" s="189" customFormat="1" ht="19.5" customHeight="1" x14ac:dyDescent="0.35">
      <c r="A93" s="227"/>
      <c r="B93" s="18" t="s">
        <v>235</v>
      </c>
      <c r="C93" s="24" t="s">
        <v>18</v>
      </c>
      <c r="D93" s="84">
        <f>0.0506*D88</f>
        <v>7.0839999999999996</v>
      </c>
      <c r="E93" s="84"/>
      <c r="F93" s="186">
        <f t="shared" si="4"/>
        <v>0</v>
      </c>
      <c r="G93" s="84"/>
      <c r="H93" s="186">
        <f t="shared" si="5"/>
        <v>0</v>
      </c>
      <c r="I93" s="84"/>
      <c r="J93" s="186">
        <f t="shared" si="6"/>
        <v>0</v>
      </c>
      <c r="K93" s="187">
        <f t="shared" si="7"/>
        <v>0</v>
      </c>
    </row>
    <row r="94" spans="1:11" s="189" customFormat="1" ht="19.5" customHeight="1" x14ac:dyDescent="0.35">
      <c r="A94" s="227"/>
      <c r="B94" s="56" t="s">
        <v>279</v>
      </c>
      <c r="C94" s="24"/>
      <c r="D94" s="84"/>
      <c r="E94" s="84"/>
      <c r="F94" s="186">
        <f t="shared" si="4"/>
        <v>0</v>
      </c>
      <c r="G94" s="84"/>
      <c r="H94" s="186">
        <f t="shared" si="5"/>
        <v>0</v>
      </c>
      <c r="I94" s="84"/>
      <c r="J94" s="186">
        <f t="shared" si="6"/>
        <v>0</v>
      </c>
      <c r="K94" s="187">
        <f t="shared" si="7"/>
        <v>0</v>
      </c>
    </row>
    <row r="95" spans="1:11" s="189" customFormat="1" ht="25.5" customHeight="1" x14ac:dyDescent="0.35">
      <c r="A95" s="227">
        <v>1</v>
      </c>
      <c r="B95" s="90" t="s">
        <v>280</v>
      </c>
      <c r="C95" s="89" t="s">
        <v>13</v>
      </c>
      <c r="D95" s="91">
        <v>550</v>
      </c>
      <c r="E95" s="91"/>
      <c r="F95" s="186">
        <f t="shared" si="4"/>
        <v>0</v>
      </c>
      <c r="G95" s="91"/>
      <c r="H95" s="186">
        <f t="shared" si="5"/>
        <v>0</v>
      </c>
      <c r="I95" s="91"/>
      <c r="J95" s="186">
        <f t="shared" si="6"/>
        <v>0</v>
      </c>
      <c r="K95" s="187">
        <f t="shared" si="7"/>
        <v>0</v>
      </c>
    </row>
    <row r="96" spans="1:11" s="189" customFormat="1" ht="19.5" customHeight="1" x14ac:dyDescent="0.35">
      <c r="A96" s="227"/>
      <c r="B96" s="33" t="s">
        <v>56</v>
      </c>
      <c r="C96" s="89" t="s">
        <v>19</v>
      </c>
      <c r="D96" s="91">
        <f>D95*0.7</f>
        <v>385</v>
      </c>
      <c r="E96" s="91"/>
      <c r="F96" s="186">
        <f t="shared" si="4"/>
        <v>0</v>
      </c>
      <c r="G96" s="91"/>
      <c r="H96" s="186">
        <f t="shared" si="5"/>
        <v>0</v>
      </c>
      <c r="I96" s="91"/>
      <c r="J96" s="186">
        <f t="shared" si="6"/>
        <v>0</v>
      </c>
      <c r="K96" s="187">
        <f t="shared" si="7"/>
        <v>0</v>
      </c>
    </row>
    <row r="97" spans="1:11" s="189" customFormat="1" ht="19.5" customHeight="1" x14ac:dyDescent="0.35">
      <c r="A97" s="227"/>
      <c r="B97" s="33" t="s">
        <v>281</v>
      </c>
      <c r="C97" s="89" t="s">
        <v>19</v>
      </c>
      <c r="D97" s="91">
        <f>(D95-D36)*0.4</f>
        <v>159.84000000000003</v>
      </c>
      <c r="E97" s="91"/>
      <c r="F97" s="186">
        <f t="shared" si="4"/>
        <v>0</v>
      </c>
      <c r="G97" s="91"/>
      <c r="H97" s="186">
        <f t="shared" si="5"/>
        <v>0</v>
      </c>
      <c r="I97" s="91"/>
      <c r="J97" s="186">
        <f t="shared" si="6"/>
        <v>0</v>
      </c>
      <c r="K97" s="187">
        <f t="shared" si="7"/>
        <v>0</v>
      </c>
    </row>
    <row r="98" spans="1:11" s="189" customFormat="1" ht="19.5" customHeight="1" x14ac:dyDescent="0.35">
      <c r="A98" s="227"/>
      <c r="B98" s="33" t="s">
        <v>282</v>
      </c>
      <c r="C98" s="89" t="s">
        <v>19</v>
      </c>
      <c r="D98" s="91">
        <f>D36*0.45</f>
        <v>67.680000000000007</v>
      </c>
      <c r="E98" s="91"/>
      <c r="F98" s="186">
        <f t="shared" si="4"/>
        <v>0</v>
      </c>
      <c r="G98" s="91"/>
      <c r="H98" s="186">
        <f t="shared" si="5"/>
        <v>0</v>
      </c>
      <c r="I98" s="91"/>
      <c r="J98" s="186">
        <f t="shared" si="6"/>
        <v>0</v>
      </c>
      <c r="K98" s="187">
        <f t="shared" si="7"/>
        <v>0</v>
      </c>
    </row>
    <row r="99" spans="1:11" s="189" customFormat="1" ht="19.5" customHeight="1" x14ac:dyDescent="0.35">
      <c r="A99" s="227"/>
      <c r="B99" s="33" t="s">
        <v>57</v>
      </c>
      <c r="C99" s="89" t="s">
        <v>13</v>
      </c>
      <c r="D99" s="91">
        <f>D95*0.009</f>
        <v>4.9499999999999993</v>
      </c>
      <c r="E99" s="91"/>
      <c r="F99" s="186">
        <f t="shared" si="4"/>
        <v>0</v>
      </c>
      <c r="G99" s="91"/>
      <c r="H99" s="186">
        <f t="shared" si="5"/>
        <v>0</v>
      </c>
      <c r="I99" s="91"/>
      <c r="J99" s="186">
        <f t="shared" si="6"/>
        <v>0</v>
      </c>
      <c r="K99" s="187">
        <f t="shared" si="7"/>
        <v>0</v>
      </c>
    </row>
    <row r="100" spans="1:11" s="189" customFormat="1" ht="19.5" customHeight="1" x14ac:dyDescent="0.35">
      <c r="A100" s="227"/>
      <c r="B100" s="33" t="s">
        <v>17</v>
      </c>
      <c r="C100" s="89" t="s">
        <v>18</v>
      </c>
      <c r="D100" s="91">
        <v>1</v>
      </c>
      <c r="E100" s="91"/>
      <c r="F100" s="186">
        <f t="shared" si="4"/>
        <v>0</v>
      </c>
      <c r="G100" s="91"/>
      <c r="H100" s="186">
        <f t="shared" si="5"/>
        <v>0</v>
      </c>
      <c r="I100" s="91"/>
      <c r="J100" s="186">
        <f t="shared" si="6"/>
        <v>0</v>
      </c>
      <c r="K100" s="187">
        <f t="shared" si="7"/>
        <v>0</v>
      </c>
    </row>
    <row r="101" spans="1:11" s="189" customFormat="1" ht="18.75" customHeight="1" x14ac:dyDescent="0.35">
      <c r="A101" s="188"/>
      <c r="B101" s="191" t="s">
        <v>283</v>
      </c>
      <c r="C101" s="24"/>
      <c r="D101" s="84"/>
      <c r="E101" s="84"/>
      <c r="F101" s="186">
        <f t="shared" si="4"/>
        <v>0</v>
      </c>
      <c r="G101" s="84"/>
      <c r="H101" s="186">
        <f t="shared" si="5"/>
        <v>0</v>
      </c>
      <c r="I101" s="84"/>
      <c r="J101" s="186">
        <f t="shared" si="6"/>
        <v>0</v>
      </c>
      <c r="K101" s="187">
        <f t="shared" si="7"/>
        <v>0</v>
      </c>
    </row>
    <row r="102" spans="1:11" s="189" customFormat="1" ht="31.5" customHeight="1" x14ac:dyDescent="0.35">
      <c r="A102" s="188">
        <v>1</v>
      </c>
      <c r="B102" s="87" t="s">
        <v>284</v>
      </c>
      <c r="C102" s="89" t="s">
        <v>13</v>
      </c>
      <c r="D102" s="91">
        <v>10</v>
      </c>
      <c r="E102" s="91"/>
      <c r="F102" s="186">
        <f t="shared" si="4"/>
        <v>0</v>
      </c>
      <c r="G102" s="91"/>
      <c r="H102" s="186">
        <f t="shared" si="5"/>
        <v>0</v>
      </c>
      <c r="I102" s="91"/>
      <c r="J102" s="186">
        <f t="shared" si="6"/>
        <v>0</v>
      </c>
      <c r="K102" s="187">
        <f t="shared" si="7"/>
        <v>0</v>
      </c>
    </row>
    <row r="103" spans="1:11" s="189" customFormat="1" ht="31.5" customHeight="1" x14ac:dyDescent="0.35">
      <c r="A103" s="188">
        <v>2</v>
      </c>
      <c r="B103" s="87" t="s">
        <v>285</v>
      </c>
      <c r="C103" s="89" t="s">
        <v>13</v>
      </c>
      <c r="D103" s="91">
        <v>1.5</v>
      </c>
      <c r="E103" s="91"/>
      <c r="F103" s="186">
        <f t="shared" si="4"/>
        <v>0</v>
      </c>
      <c r="G103" s="91"/>
      <c r="H103" s="186">
        <f t="shared" si="5"/>
        <v>0</v>
      </c>
      <c r="I103" s="91"/>
      <c r="J103" s="186">
        <f t="shared" si="6"/>
        <v>0</v>
      </c>
      <c r="K103" s="187">
        <f t="shared" si="7"/>
        <v>0</v>
      </c>
    </row>
    <row r="104" spans="1:11" s="189" customFormat="1" ht="18.75" customHeight="1" x14ac:dyDescent="0.35">
      <c r="A104" s="188"/>
      <c r="B104" s="87" t="s">
        <v>286</v>
      </c>
      <c r="C104" s="89" t="s">
        <v>37</v>
      </c>
      <c r="D104" s="91">
        <v>14</v>
      </c>
      <c r="E104" s="91"/>
      <c r="F104" s="186">
        <f t="shared" si="4"/>
        <v>0</v>
      </c>
      <c r="G104" s="91"/>
      <c r="H104" s="186">
        <f t="shared" si="5"/>
        <v>0</v>
      </c>
      <c r="I104" s="91"/>
      <c r="J104" s="186">
        <f t="shared" si="6"/>
        <v>0</v>
      </c>
      <c r="K104" s="187">
        <f t="shared" si="7"/>
        <v>0</v>
      </c>
    </row>
    <row r="105" spans="1:11" s="189" customFormat="1" ht="18.75" customHeight="1" x14ac:dyDescent="0.35">
      <c r="A105" s="188"/>
      <c r="B105" s="87" t="s">
        <v>287</v>
      </c>
      <c r="C105" s="89" t="s">
        <v>37</v>
      </c>
      <c r="D105" s="91">
        <v>4</v>
      </c>
      <c r="E105" s="91"/>
      <c r="F105" s="186">
        <f t="shared" si="4"/>
        <v>0</v>
      </c>
      <c r="G105" s="91"/>
      <c r="H105" s="186">
        <f t="shared" si="5"/>
        <v>0</v>
      </c>
      <c r="I105" s="91"/>
      <c r="J105" s="186">
        <f t="shared" si="6"/>
        <v>0</v>
      </c>
      <c r="K105" s="187">
        <f t="shared" si="7"/>
        <v>0</v>
      </c>
    </row>
    <row r="106" spans="1:11" s="189" customFormat="1" ht="18.75" customHeight="1" x14ac:dyDescent="0.35">
      <c r="A106" s="188"/>
      <c r="B106" s="87" t="s">
        <v>288</v>
      </c>
      <c r="C106" s="24" t="s">
        <v>18</v>
      </c>
      <c r="D106" s="84">
        <f>D102*0.3</f>
        <v>3</v>
      </c>
      <c r="E106" s="84"/>
      <c r="F106" s="186">
        <f t="shared" si="4"/>
        <v>0</v>
      </c>
      <c r="G106" s="84"/>
      <c r="H106" s="186">
        <f t="shared" si="5"/>
        <v>0</v>
      </c>
      <c r="I106" s="84"/>
      <c r="J106" s="186">
        <f t="shared" si="6"/>
        <v>0</v>
      </c>
      <c r="K106" s="187">
        <f t="shared" si="7"/>
        <v>0</v>
      </c>
    </row>
    <row r="107" spans="1:11" s="189" customFormat="1" ht="18.75" customHeight="1" x14ac:dyDescent="0.35">
      <c r="A107" s="188" t="s">
        <v>159</v>
      </c>
      <c r="B107" s="191" t="s">
        <v>289</v>
      </c>
      <c r="C107" s="24"/>
      <c r="D107" s="84"/>
      <c r="E107" s="84"/>
      <c r="F107" s="186">
        <f t="shared" si="4"/>
        <v>0</v>
      </c>
      <c r="G107" s="84"/>
      <c r="H107" s="186">
        <f t="shared" si="5"/>
        <v>0</v>
      </c>
      <c r="I107" s="84"/>
      <c r="J107" s="186">
        <f t="shared" si="6"/>
        <v>0</v>
      </c>
      <c r="K107" s="187">
        <f t="shared" si="7"/>
        <v>0</v>
      </c>
    </row>
    <row r="108" spans="1:11" s="189" customFormat="1" ht="46.5" customHeight="1" x14ac:dyDescent="0.35">
      <c r="A108" s="188">
        <v>1</v>
      </c>
      <c r="B108" s="85" t="s">
        <v>290</v>
      </c>
      <c r="C108" s="10" t="s">
        <v>14</v>
      </c>
      <c r="D108" s="10">
        <v>1</v>
      </c>
      <c r="E108" s="186"/>
      <c r="F108" s="186">
        <f t="shared" si="4"/>
        <v>0</v>
      </c>
      <c r="G108" s="186"/>
      <c r="H108" s="186">
        <f t="shared" si="5"/>
        <v>0</v>
      </c>
      <c r="I108" s="27"/>
      <c r="J108" s="186">
        <f t="shared" si="6"/>
        <v>0</v>
      </c>
      <c r="K108" s="187">
        <f t="shared" si="7"/>
        <v>0</v>
      </c>
    </row>
    <row r="109" spans="1:11" s="189" customFormat="1" ht="18.75" customHeight="1" x14ac:dyDescent="0.35">
      <c r="A109" s="188">
        <v>2</v>
      </c>
      <c r="B109" s="100" t="s">
        <v>291</v>
      </c>
      <c r="C109" s="137" t="s">
        <v>292</v>
      </c>
      <c r="D109" s="192">
        <v>95</v>
      </c>
      <c r="E109" s="94"/>
      <c r="F109" s="186">
        <f t="shared" si="4"/>
        <v>0</v>
      </c>
      <c r="G109" s="94"/>
      <c r="H109" s="186">
        <f t="shared" si="5"/>
        <v>0</v>
      </c>
      <c r="I109" s="91"/>
      <c r="J109" s="186">
        <f t="shared" si="6"/>
        <v>0</v>
      </c>
      <c r="K109" s="187">
        <f t="shared" si="7"/>
        <v>0</v>
      </c>
    </row>
    <row r="110" spans="1:11" s="189" customFormat="1" ht="18.75" customHeight="1" x14ac:dyDescent="0.35">
      <c r="A110" s="188">
        <v>3</v>
      </c>
      <c r="B110" s="100" t="s">
        <v>293</v>
      </c>
      <c r="C110" s="137" t="s">
        <v>292</v>
      </c>
      <c r="D110" s="192">
        <v>110</v>
      </c>
      <c r="E110" s="94"/>
      <c r="F110" s="186">
        <f t="shared" si="4"/>
        <v>0</v>
      </c>
      <c r="G110" s="94"/>
      <c r="H110" s="186">
        <f t="shared" si="5"/>
        <v>0</v>
      </c>
      <c r="I110" s="91"/>
      <c r="J110" s="186">
        <f t="shared" si="6"/>
        <v>0</v>
      </c>
      <c r="K110" s="187">
        <f t="shared" si="7"/>
        <v>0</v>
      </c>
    </row>
    <row r="111" spans="1:11" s="189" customFormat="1" ht="30.75" customHeight="1" x14ac:dyDescent="0.35">
      <c r="A111" s="188">
        <v>4</v>
      </c>
      <c r="B111" s="100" t="s">
        <v>294</v>
      </c>
      <c r="C111" s="137" t="s">
        <v>37</v>
      </c>
      <c r="D111" s="192">
        <v>10</v>
      </c>
      <c r="E111" s="94"/>
      <c r="F111" s="186">
        <f t="shared" si="4"/>
        <v>0</v>
      </c>
      <c r="G111" s="94"/>
      <c r="H111" s="186">
        <f t="shared" si="5"/>
        <v>0</v>
      </c>
      <c r="I111" s="91"/>
      <c r="J111" s="186">
        <f t="shared" si="6"/>
        <v>0</v>
      </c>
      <c r="K111" s="187">
        <f t="shared" si="7"/>
        <v>0</v>
      </c>
    </row>
    <row r="112" spans="1:11" s="189" customFormat="1" ht="21.75" customHeight="1" x14ac:dyDescent="0.35">
      <c r="A112" s="188">
        <v>5</v>
      </c>
      <c r="B112" s="100" t="s">
        <v>295</v>
      </c>
      <c r="C112" s="137" t="s">
        <v>14</v>
      </c>
      <c r="D112" s="192">
        <v>4</v>
      </c>
      <c r="E112" s="94"/>
      <c r="F112" s="186">
        <f t="shared" si="4"/>
        <v>0</v>
      </c>
      <c r="G112" s="94"/>
      <c r="H112" s="186">
        <f t="shared" si="5"/>
        <v>0</v>
      </c>
      <c r="I112" s="91"/>
      <c r="J112" s="186">
        <f t="shared" si="6"/>
        <v>0</v>
      </c>
      <c r="K112" s="187">
        <f t="shared" si="7"/>
        <v>0</v>
      </c>
    </row>
    <row r="113" spans="1:11" s="189" customFormat="1" ht="21.75" customHeight="1" x14ac:dyDescent="0.35">
      <c r="A113" s="188">
        <v>6</v>
      </c>
      <c r="B113" s="100" t="s">
        <v>296</v>
      </c>
      <c r="C113" s="137" t="s">
        <v>14</v>
      </c>
      <c r="D113" s="192">
        <v>2</v>
      </c>
      <c r="E113" s="94"/>
      <c r="F113" s="186">
        <f t="shared" si="4"/>
        <v>0</v>
      </c>
      <c r="G113" s="94"/>
      <c r="H113" s="186">
        <f t="shared" si="5"/>
        <v>0</v>
      </c>
      <c r="I113" s="91"/>
      <c r="J113" s="186">
        <f t="shared" si="6"/>
        <v>0</v>
      </c>
      <c r="K113" s="187">
        <f t="shared" si="7"/>
        <v>0</v>
      </c>
    </row>
    <row r="114" spans="1:11" s="189" customFormat="1" ht="21" customHeight="1" x14ac:dyDescent="0.35">
      <c r="A114" s="188">
        <v>7</v>
      </c>
      <c r="B114" s="193" t="s">
        <v>297</v>
      </c>
      <c r="C114" s="137" t="s">
        <v>37</v>
      </c>
      <c r="D114" s="192">
        <v>14</v>
      </c>
      <c r="E114" s="94"/>
      <c r="F114" s="186">
        <f t="shared" si="4"/>
        <v>0</v>
      </c>
      <c r="G114" s="94"/>
      <c r="H114" s="186">
        <f t="shared" si="5"/>
        <v>0</v>
      </c>
      <c r="I114" s="91"/>
      <c r="J114" s="186">
        <f t="shared" si="6"/>
        <v>0</v>
      </c>
      <c r="K114" s="187">
        <f t="shared" si="7"/>
        <v>0</v>
      </c>
    </row>
    <row r="115" spans="1:11" s="189" customFormat="1" ht="18.75" customHeight="1" x14ac:dyDescent="0.35">
      <c r="A115" s="188">
        <v>8</v>
      </c>
      <c r="B115" s="194" t="s">
        <v>298</v>
      </c>
      <c r="C115" s="137" t="s">
        <v>65</v>
      </c>
      <c r="D115" s="192">
        <v>1</v>
      </c>
      <c r="E115" s="94"/>
      <c r="F115" s="186">
        <f t="shared" si="4"/>
        <v>0</v>
      </c>
      <c r="G115" s="94"/>
      <c r="H115" s="186">
        <f t="shared" si="5"/>
        <v>0</v>
      </c>
      <c r="I115" s="91"/>
      <c r="J115" s="186">
        <f t="shared" si="6"/>
        <v>0</v>
      </c>
      <c r="K115" s="187">
        <f t="shared" si="7"/>
        <v>0</v>
      </c>
    </row>
    <row r="116" spans="1:11" s="189" customFormat="1" ht="18.75" customHeight="1" x14ac:dyDescent="0.35">
      <c r="A116" s="188">
        <v>9</v>
      </c>
      <c r="B116" s="87" t="s">
        <v>288</v>
      </c>
      <c r="C116" s="24" t="s">
        <v>18</v>
      </c>
      <c r="D116" s="84">
        <f>(F108+F109+F110+F111+F112+F113+F114+F115)*0.008</f>
        <v>0</v>
      </c>
      <c r="E116" s="84"/>
      <c r="F116" s="186">
        <f t="shared" si="4"/>
        <v>0</v>
      </c>
      <c r="G116" s="84"/>
      <c r="H116" s="186">
        <f t="shared" si="5"/>
        <v>0</v>
      </c>
      <c r="I116" s="84"/>
      <c r="J116" s="186">
        <f t="shared" si="6"/>
        <v>0</v>
      </c>
      <c r="K116" s="187">
        <f t="shared" si="7"/>
        <v>0</v>
      </c>
    </row>
    <row r="117" spans="1:11" s="189" customFormat="1" ht="18.75" customHeight="1" x14ac:dyDescent="0.35">
      <c r="A117" s="188"/>
      <c r="B117" s="195" t="s">
        <v>299</v>
      </c>
      <c r="C117" s="89"/>
      <c r="D117" s="89"/>
      <c r="E117" s="89"/>
      <c r="F117" s="186">
        <f t="shared" si="4"/>
        <v>0</v>
      </c>
      <c r="G117" s="89"/>
      <c r="H117" s="186">
        <f t="shared" si="5"/>
        <v>0</v>
      </c>
      <c r="I117" s="89"/>
      <c r="J117" s="186">
        <f t="shared" si="6"/>
        <v>0</v>
      </c>
      <c r="K117" s="187">
        <f t="shared" si="7"/>
        <v>0</v>
      </c>
    </row>
    <row r="118" spans="1:11" s="189" customFormat="1" ht="18.75" customHeight="1" x14ac:dyDescent="0.35">
      <c r="A118" s="188">
        <v>1</v>
      </c>
      <c r="B118" s="196" t="s">
        <v>300</v>
      </c>
      <c r="C118" s="89" t="s">
        <v>15</v>
      </c>
      <c r="D118" s="91">
        <v>20</v>
      </c>
      <c r="E118" s="91"/>
      <c r="F118" s="186">
        <f t="shared" si="4"/>
        <v>0</v>
      </c>
      <c r="G118" s="91"/>
      <c r="H118" s="186">
        <f t="shared" si="5"/>
        <v>0</v>
      </c>
      <c r="I118" s="91"/>
      <c r="J118" s="186">
        <f t="shared" si="6"/>
        <v>0</v>
      </c>
      <c r="K118" s="187">
        <f t="shared" si="7"/>
        <v>0</v>
      </c>
    </row>
    <row r="119" spans="1:11" s="189" customFormat="1" ht="18.75" customHeight="1" x14ac:dyDescent="0.35">
      <c r="A119" s="188">
        <v>2</v>
      </c>
      <c r="B119" s="196" t="s">
        <v>301</v>
      </c>
      <c r="C119" s="89" t="s">
        <v>14</v>
      </c>
      <c r="D119" s="91">
        <v>4</v>
      </c>
      <c r="E119" s="91"/>
      <c r="F119" s="186">
        <f t="shared" si="4"/>
        <v>0</v>
      </c>
      <c r="G119" s="91"/>
      <c r="H119" s="186">
        <f t="shared" si="5"/>
        <v>0</v>
      </c>
      <c r="I119" s="91"/>
      <c r="J119" s="186">
        <f t="shared" si="6"/>
        <v>0</v>
      </c>
      <c r="K119" s="187">
        <f t="shared" si="7"/>
        <v>0</v>
      </c>
    </row>
    <row r="120" spans="1:11" s="189" customFormat="1" ht="18.75" customHeight="1" x14ac:dyDescent="0.35">
      <c r="A120" s="188">
        <v>3</v>
      </c>
      <c r="B120" s="196" t="s">
        <v>302</v>
      </c>
      <c r="C120" s="89" t="s">
        <v>14</v>
      </c>
      <c r="D120" s="91">
        <v>2</v>
      </c>
      <c r="E120" s="91"/>
      <c r="F120" s="186">
        <f t="shared" si="4"/>
        <v>0</v>
      </c>
      <c r="G120" s="91"/>
      <c r="H120" s="186">
        <f t="shared" si="5"/>
        <v>0</v>
      </c>
      <c r="I120" s="91"/>
      <c r="J120" s="186">
        <f t="shared" si="6"/>
        <v>0</v>
      </c>
      <c r="K120" s="187">
        <f t="shared" si="7"/>
        <v>0</v>
      </c>
    </row>
    <row r="121" spans="1:11" s="189" customFormat="1" ht="18.75" customHeight="1" x14ac:dyDescent="0.35">
      <c r="A121" s="188">
        <v>4</v>
      </c>
      <c r="B121" s="196" t="s">
        <v>303</v>
      </c>
      <c r="C121" s="89" t="s">
        <v>14</v>
      </c>
      <c r="D121" s="91">
        <f>D118*0.3</f>
        <v>6</v>
      </c>
      <c r="E121" s="91"/>
      <c r="F121" s="186">
        <f t="shared" si="4"/>
        <v>0</v>
      </c>
      <c r="G121" s="91"/>
      <c r="H121" s="186">
        <f t="shared" si="5"/>
        <v>0</v>
      </c>
      <c r="I121" s="91"/>
      <c r="J121" s="186">
        <f t="shared" si="6"/>
        <v>0</v>
      </c>
      <c r="K121" s="187">
        <f t="shared" si="7"/>
        <v>0</v>
      </c>
    </row>
    <row r="122" spans="1:11" s="189" customFormat="1" ht="18.75" customHeight="1" x14ac:dyDescent="0.35">
      <c r="A122" s="188">
        <v>5</v>
      </c>
      <c r="B122" s="196" t="s">
        <v>36</v>
      </c>
      <c r="C122" s="89" t="s">
        <v>15</v>
      </c>
      <c r="D122" s="91">
        <v>10</v>
      </c>
      <c r="E122" s="91"/>
      <c r="F122" s="186">
        <f t="shared" si="4"/>
        <v>0</v>
      </c>
      <c r="G122" s="91"/>
      <c r="H122" s="186">
        <f t="shared" si="5"/>
        <v>0</v>
      </c>
      <c r="I122" s="91"/>
      <c r="J122" s="186">
        <f t="shared" si="6"/>
        <v>0</v>
      </c>
      <c r="K122" s="187">
        <f t="shared" si="7"/>
        <v>0</v>
      </c>
    </row>
    <row r="123" spans="1:11" s="189" customFormat="1" ht="18.75" customHeight="1" x14ac:dyDescent="0.35">
      <c r="A123" s="188">
        <v>6</v>
      </c>
      <c r="B123" s="196" t="s">
        <v>304</v>
      </c>
      <c r="C123" s="89" t="s">
        <v>14</v>
      </c>
      <c r="D123" s="91">
        <v>1</v>
      </c>
      <c r="E123" s="91"/>
      <c r="F123" s="186">
        <f t="shared" si="4"/>
        <v>0</v>
      </c>
      <c r="G123" s="91"/>
      <c r="H123" s="186">
        <f t="shared" si="5"/>
        <v>0</v>
      </c>
      <c r="I123" s="91"/>
      <c r="J123" s="186">
        <f t="shared" si="6"/>
        <v>0</v>
      </c>
      <c r="K123" s="187">
        <f t="shared" si="7"/>
        <v>0</v>
      </c>
    </row>
    <row r="124" spans="1:11" s="189" customFormat="1" ht="18.75" customHeight="1" x14ac:dyDescent="0.35">
      <c r="A124" s="188">
        <v>7</v>
      </c>
      <c r="B124" s="196" t="s">
        <v>305</v>
      </c>
      <c r="C124" s="89" t="s">
        <v>14</v>
      </c>
      <c r="D124" s="91">
        <v>12</v>
      </c>
      <c r="E124" s="91"/>
      <c r="F124" s="186">
        <f t="shared" si="4"/>
        <v>0</v>
      </c>
      <c r="G124" s="91"/>
      <c r="H124" s="186">
        <f t="shared" si="5"/>
        <v>0</v>
      </c>
      <c r="I124" s="91"/>
      <c r="J124" s="186">
        <f t="shared" si="6"/>
        <v>0</v>
      </c>
      <c r="K124" s="187">
        <f t="shared" si="7"/>
        <v>0</v>
      </c>
    </row>
    <row r="125" spans="1:11" s="189" customFormat="1" x14ac:dyDescent="0.35">
      <c r="A125" s="188"/>
      <c r="B125" s="197" t="s">
        <v>11</v>
      </c>
      <c r="C125" s="198"/>
      <c r="D125" s="199"/>
      <c r="E125" s="199"/>
      <c r="F125" s="200">
        <f>SUM(F8:F124)</f>
        <v>0</v>
      </c>
      <c r="G125" s="199"/>
      <c r="H125" s="200">
        <f>SUM(H8:H124)</f>
        <v>0</v>
      </c>
      <c r="I125" s="199"/>
      <c r="J125" s="200">
        <f>SUM(J8:J124)</f>
        <v>0</v>
      </c>
      <c r="K125" s="201">
        <f>SUM(K8:K124)</f>
        <v>0</v>
      </c>
    </row>
    <row r="126" spans="1:11" s="189" customFormat="1" x14ac:dyDescent="0.35">
      <c r="A126" s="188"/>
      <c r="B126" s="202" t="s">
        <v>20</v>
      </c>
      <c r="C126" s="203" t="s">
        <v>309</v>
      </c>
      <c r="D126" s="204"/>
      <c r="E126" s="204"/>
      <c r="F126" s="204"/>
      <c r="G126" s="204"/>
      <c r="H126" s="204"/>
      <c r="I126" s="204"/>
      <c r="J126" s="204"/>
      <c r="K126" s="199" t="e">
        <f>F125*C126</f>
        <v>#VALUE!</v>
      </c>
    </row>
    <row r="127" spans="1:11" s="189" customFormat="1" x14ac:dyDescent="0.35">
      <c r="A127" s="188"/>
      <c r="B127" s="202" t="s">
        <v>11</v>
      </c>
      <c r="C127" s="188"/>
      <c r="D127" s="204"/>
      <c r="E127" s="204"/>
      <c r="F127" s="204"/>
      <c r="G127" s="204"/>
      <c r="H127" s="204"/>
      <c r="I127" s="204"/>
      <c r="J127" s="204"/>
      <c r="K127" s="199" t="e">
        <f>K126+K125</f>
        <v>#VALUE!</v>
      </c>
    </row>
    <row r="128" spans="1:11" s="189" customFormat="1" x14ac:dyDescent="0.35">
      <c r="A128" s="188"/>
      <c r="B128" s="202" t="s">
        <v>21</v>
      </c>
      <c r="C128" s="203" t="s">
        <v>309</v>
      </c>
      <c r="D128" s="205"/>
      <c r="E128" s="205"/>
      <c r="F128" s="205"/>
      <c r="G128" s="205"/>
      <c r="H128" s="205"/>
      <c r="I128" s="205"/>
      <c r="J128" s="205"/>
      <c r="K128" s="200" t="e">
        <f>K127*C128</f>
        <v>#VALUE!</v>
      </c>
    </row>
    <row r="129" spans="1:11" s="189" customFormat="1" x14ac:dyDescent="0.35">
      <c r="A129" s="188"/>
      <c r="B129" s="202" t="s">
        <v>11</v>
      </c>
      <c r="C129" s="188"/>
      <c r="D129" s="204"/>
      <c r="E129" s="204"/>
      <c r="F129" s="204"/>
      <c r="G129" s="204"/>
      <c r="H129" s="204"/>
      <c r="I129" s="204"/>
      <c r="J129" s="204"/>
      <c r="K129" s="199" t="e">
        <f>K128+K127</f>
        <v>#VALUE!</v>
      </c>
    </row>
    <row r="130" spans="1:11" s="189" customFormat="1" x14ac:dyDescent="0.35">
      <c r="A130" s="188"/>
      <c r="B130" s="202" t="s">
        <v>22</v>
      </c>
      <c r="C130" s="203" t="s">
        <v>309</v>
      </c>
      <c r="D130" s="204"/>
      <c r="E130" s="204"/>
      <c r="F130" s="204"/>
      <c r="G130" s="204"/>
      <c r="H130" s="204"/>
      <c r="I130" s="204"/>
      <c r="J130" s="204"/>
      <c r="K130" s="199" t="e">
        <f>K129*C130</f>
        <v>#VALUE!</v>
      </c>
    </row>
    <row r="131" spans="1:11" s="189" customFormat="1" x14ac:dyDescent="0.35">
      <c r="A131" s="206"/>
      <c r="B131" s="202" t="s">
        <v>11</v>
      </c>
      <c r="C131" s="188"/>
      <c r="D131" s="204"/>
      <c r="E131" s="204"/>
      <c r="F131" s="204"/>
      <c r="G131" s="204"/>
      <c r="H131" s="204"/>
      <c r="I131" s="204"/>
      <c r="J131" s="204"/>
      <c r="K131" s="199" t="e">
        <f>K130+K129</f>
        <v>#VALUE!</v>
      </c>
    </row>
    <row r="132" spans="1:11" s="189" customFormat="1" x14ac:dyDescent="0.35">
      <c r="A132" s="206"/>
      <c r="B132" s="207" t="s">
        <v>25</v>
      </c>
      <c r="C132" s="208" t="s">
        <v>309</v>
      </c>
      <c r="D132" s="209"/>
      <c r="E132" s="210"/>
      <c r="F132" s="210"/>
      <c r="G132" s="209"/>
      <c r="H132" s="209"/>
      <c r="I132" s="209"/>
      <c r="J132" s="210"/>
      <c r="K132" s="211" t="e">
        <f>K131*C132</f>
        <v>#VALUE!</v>
      </c>
    </row>
    <row r="133" spans="1:11" s="189" customFormat="1" x14ac:dyDescent="0.35">
      <c r="A133" s="206"/>
      <c r="B133" s="202" t="s">
        <v>43</v>
      </c>
      <c r="C133" s="203" t="s">
        <v>309</v>
      </c>
      <c r="D133" s="212"/>
      <c r="E133" s="212"/>
      <c r="F133" s="213"/>
      <c r="G133" s="214"/>
      <c r="H133" s="214"/>
      <c r="I133" s="214"/>
      <c r="J133" s="213"/>
      <c r="K133" s="215" t="e">
        <f>H125*C133</f>
        <v>#VALUE!</v>
      </c>
    </row>
    <row r="134" spans="1:11" s="189" customFormat="1" x14ac:dyDescent="0.35">
      <c r="A134" s="206"/>
      <c r="B134" s="216" t="s">
        <v>11</v>
      </c>
      <c r="C134" s="217"/>
      <c r="D134" s="212"/>
      <c r="E134" s="212"/>
      <c r="F134" s="213"/>
      <c r="G134" s="214"/>
      <c r="H134" s="214"/>
      <c r="I134" s="214"/>
      <c r="J134" s="213"/>
      <c r="K134" s="215" t="e">
        <f>K133+K132+K131</f>
        <v>#VALUE!</v>
      </c>
    </row>
    <row r="135" spans="1:11" s="189" customFormat="1" x14ac:dyDescent="0.35">
      <c r="A135" s="188"/>
      <c r="B135" s="218" t="s">
        <v>306</v>
      </c>
      <c r="C135" s="219">
        <v>0.18</v>
      </c>
      <c r="D135" s="220"/>
      <c r="E135" s="220"/>
      <c r="F135" s="220"/>
      <c r="G135" s="220"/>
      <c r="H135" s="220"/>
      <c r="I135" s="220"/>
      <c r="J135" s="220"/>
      <c r="K135" s="221" t="e">
        <f>K134*C135</f>
        <v>#VALUE!</v>
      </c>
    </row>
    <row r="136" spans="1:11" s="189" customFormat="1" x14ac:dyDescent="0.35">
      <c r="A136" s="188"/>
      <c r="B136" s="222" t="s">
        <v>11</v>
      </c>
      <c r="C136" s="223"/>
      <c r="D136" s="224"/>
      <c r="E136" s="224"/>
      <c r="F136" s="224"/>
      <c r="G136" s="224"/>
      <c r="H136" s="224"/>
      <c r="I136" s="224"/>
      <c r="J136" s="224"/>
      <c r="K136" s="225" t="e">
        <f>K135+K134</f>
        <v>#VALUE!</v>
      </c>
    </row>
    <row r="137" spans="1:11" x14ac:dyDescent="0.35">
      <c r="K137" s="226"/>
    </row>
  </sheetData>
  <mergeCells count="11">
    <mergeCell ref="K4:K5"/>
    <mergeCell ref="J1:K1"/>
    <mergeCell ref="A2:K2"/>
    <mergeCell ref="E3:J3"/>
    <mergeCell ref="A4:A5"/>
    <mergeCell ref="B4:B5"/>
    <mergeCell ref="C4:C5"/>
    <mergeCell ref="D4:D5"/>
    <mergeCell ref="E4:F4"/>
    <mergeCell ref="G4:H4"/>
    <mergeCell ref="I4:J4"/>
  </mergeCells>
  <conditionalFormatting sqref="D109:D110">
    <cfRule type="cellIs" dxfId="3" priority="4" operator="equal">
      <formula>0</formula>
    </cfRule>
  </conditionalFormatting>
  <conditionalFormatting sqref="D111:D113">
    <cfRule type="cellIs" dxfId="2" priority="3" operator="equal">
      <formula>0</formula>
    </cfRule>
  </conditionalFormatting>
  <conditionalFormatting sqref="D114">
    <cfRule type="cellIs" dxfId="1" priority="2" operator="equal">
      <formula>0</formula>
    </cfRule>
  </conditionalFormatting>
  <conditionalFormatting sqref="D115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თავფურცელი</vt:lpstr>
      <vt:lpstr>კრებსითი</vt:lpstr>
      <vt:lpstr>II სართული</vt:lpstr>
      <vt:lpstr>III სართული</vt:lpstr>
      <vt:lpstr>ნარჩენების ოთახი, საწყობი</vt:lpstr>
      <vt:lpstr>'II სართული'!Print_Area</vt:lpstr>
      <vt:lpstr>'III სართული'!Print_Area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2022-10-21T11:09:42Z</dcterms:modified>
</cp:coreProperties>
</file>